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Quarterly Report\_Q3_17\FINAL\Data Supplement\"/>
    </mc:Choice>
  </mc:AlternateContent>
  <bookViews>
    <workbookView xWindow="45" yWindow="45" windowWidth="15315" windowHeight="8295" tabRatio="828" firstSheet="1" activeTab="1"/>
  </bookViews>
  <sheets>
    <sheet name="Title page (QR only)" sheetId="17" state="hidden" r:id="rId1"/>
    <sheet name="Index" sheetId="22" r:id="rId2"/>
    <sheet name="Financial highlights" sheetId="2" r:id="rId3"/>
    <sheet name="Summ_CF_statement_QR only" sheetId="47" state="hidden" r:id="rId4"/>
    <sheet name="Upstream" sheetId="36" r:id="rId5"/>
    <sheet name="Downstream" sheetId="37" r:id="rId6"/>
    <sheet name="Income statement" sheetId="7" r:id="rId7"/>
    <sheet name="Statement of compr. income" sheetId="12" r:id="rId8"/>
    <sheet name="Statement of fin. position" sheetId="11" r:id="rId9"/>
    <sheet name="Statement of changes in equity" sheetId="59" r:id="rId10"/>
    <sheet name="Cash flows" sheetId="10" r:id="rId11"/>
    <sheet name="Income Tax" sheetId="48" r:id="rId12"/>
    <sheet name="Financial instruments" sheetId="55" r:id="rId13"/>
    <sheet name="Segment reporting" sheetId="9" r:id="rId14"/>
    <sheet name="Related Parties" sheetId="56" r:id="rId15"/>
    <sheet name="Net cash inflows" sheetId="51" r:id="rId16"/>
    <sheet name="CAPEX,(CleanCCS) Op. Result" sheetId="6" r:id="rId17"/>
    <sheet name="Economic environment" sheetId="13" r:id="rId18"/>
    <sheet name="Statement_fin_pos_(QR only)" sheetId="40" state="hidden" r:id="rId19"/>
    <sheet name="IAS8_Income Statement impact" sheetId="41" state="hidden" r:id="rId20"/>
    <sheet name="IAS8_Balance sheet impact" sheetId="42" state="hidden" r:id="rId21"/>
    <sheet name="IAS8_Cash flows impact" sheetId="43" state="hidden" r:id="rId22"/>
    <sheet name="IAS8_FinancialHighlights_DELETE" sheetId="46" state="hidden" r:id="rId23"/>
    <sheet name="IAS8_Further impact" sheetId="44" state="hidden" r:id="rId24"/>
    <sheet name="Further impact_linked" sheetId="45" state="hidden" r:id="rId25"/>
    <sheet name="PPE_QR only" sheetId="49" state="hidden" r:id="rId26"/>
    <sheet name="Q_Consensus_QuickLink" sheetId="39" state="hidden" r:id="rId27"/>
    <sheet name="FIRE.sys_Intern_Trans_" sheetId="50" state="veryHidden" r:id="rId28"/>
  </sheets>
  <definedNames>
    <definedName name="Druckbereich_Further_Impacts" localSheetId="23">'IAS8_Further impact'!$A$1:$AH$133</definedName>
    <definedName name="Druckbereich_IAS8_Further_Impacts">'IAS8_Further impact'!$A$1:$AH$133</definedName>
    <definedName name="PerfOverview">'Title page (QR only)'!$A$2:$I$15</definedName>
    <definedName name="_xlnm.Print_Area" localSheetId="16">'CAPEX,(CleanCCS) Op. Result'!$B$1:$J$36</definedName>
    <definedName name="_xlnm.Print_Area" localSheetId="10">'Cash flows'!$B$1:$J$41</definedName>
    <definedName name="_xlnm.Print_Area" localSheetId="5">Downstream!$B$1:$J$132</definedName>
    <definedName name="_xlnm.Print_Area" localSheetId="17">'Economic environment'!$B$1:$J$21</definedName>
    <definedName name="_xlnm.Print_Area" localSheetId="2">'Financial highlights'!$B$1:$J$60</definedName>
    <definedName name="_xlnm.Print_Area" localSheetId="12">'Financial instruments'!$B$1:$I$32</definedName>
    <definedName name="_xlnm.Print_Area" localSheetId="20">'IAS8_Balance sheet impact'!$A$1:$T$55</definedName>
    <definedName name="_xlnm.Print_Area" localSheetId="21">'IAS8_Cash flows impact'!$A$1:$V$35</definedName>
    <definedName name="_xlnm.Print_Area" localSheetId="19">'IAS8_Income Statement impact'!$A$1:$AH$30</definedName>
    <definedName name="_xlnm.Print_Area" localSheetId="6">'Income statement'!$B$1:$J$34</definedName>
    <definedName name="_xlnm.Print_Area" localSheetId="11">'Income Tax'!$B$1:$J$10</definedName>
    <definedName name="_xlnm.Print_Area" localSheetId="1">Index!$A$1:$G$33</definedName>
    <definedName name="_xlnm.Print_Area" localSheetId="15">'Net cash inflows'!$B$1:$D$11</definedName>
    <definedName name="_xlnm.Print_Area" localSheetId="25">'PPE_QR only'!$A$1:$G$7</definedName>
    <definedName name="_xlnm.Print_Area" localSheetId="14">'Related Parties'!$B$1:$I$29</definedName>
    <definedName name="_xlnm.Print_Area" localSheetId="13">'Segment reporting'!$B$1:$J$65</definedName>
    <definedName name="_xlnm.Print_Area" localSheetId="9">'Statement of changes in equity'!$B$1:$K$31</definedName>
    <definedName name="_xlnm.Print_Area" localSheetId="7">'Statement of compr. income'!$B$1:$J$23</definedName>
    <definedName name="_xlnm.Print_Area" localSheetId="8">'Statement of fin. position'!$B$1:$I$56</definedName>
    <definedName name="_xlnm.Print_Area" localSheetId="18">'Statement_fin_pos_(QR only)'!$A$1:$D$28</definedName>
    <definedName name="_xlnm.Print_Area" localSheetId="3">'Summ_CF_statement_QR only'!$A$1:$D$17</definedName>
    <definedName name="_xlnm.Print_Area" localSheetId="0">'Title page (QR only)'!$A$1:$I$20</definedName>
    <definedName name="_xlnm.Print_Area" localSheetId="4">Upstream!$B$1:$J$60</definedName>
    <definedName name="_xlnm.Print_Titles" localSheetId="5">Downstream!$1:$3</definedName>
    <definedName name="_xlnm.Print_Titles" localSheetId="24">'Further impact_linked'!$5:$5</definedName>
    <definedName name="_xlnm.Print_Titles" localSheetId="22">IAS8_FinancialHighlights_DELETE!$F:$F,IAS8_FinancialHighlights_DELETE!$5:$5</definedName>
    <definedName name="_xlnm.Print_Titles" localSheetId="23">'IAS8_Further impact'!$A:$A,'IAS8_Further impact'!$1:$1</definedName>
    <definedName name="SoFP">'Statement_fin_pos_(QR only)'!$A$1:$E$28</definedName>
    <definedName name="Sy_nop" hidden="1">1</definedName>
    <definedName name="Table_Balance_Sheet" localSheetId="20">'IAS8_Balance sheet impact'!$A$3:$S$54</definedName>
    <definedName name="Table_Balance_Sheet" localSheetId="18">'Statement_fin_pos_(QR only)'!$A$3:$E$28</definedName>
    <definedName name="Table_Balance_Sheet">'Statement of fin. position'!$B$6:$F$56</definedName>
    <definedName name="Table_Cash_Flows" localSheetId="21">'IAS8_Cash flows impact'!$A$3:$S$34</definedName>
    <definedName name="Table_Cash_Flows">'Cash flows'!$B$6:$G$41</definedName>
    <definedName name="Table_changes_in_equity" localSheetId="9">'Statement of changes in equity'!$B$4:$K$30</definedName>
    <definedName name="Table_changes_in_equity">#REF!</definedName>
    <definedName name="Table_Condensed_Statement_of_Changes_in_Equity_AY" localSheetId="9">'Statement of changes in equity'!$B$6:$K$17</definedName>
    <definedName name="Table_Condensed_Statement_of_Changes_in_Equity_AY">#REF!</definedName>
    <definedName name="Table_Condensed_Statement_of_Changes_in_Equity_LY" localSheetId="9">'Statement of changes in equity'!$B$20:$K$30</definedName>
    <definedName name="Table_Condensed_Statement_of_Changes_in_Equity_LY">#REF!</definedName>
    <definedName name="Table_Downstream" localSheetId="5">Downstream!$B$6:$C$121</definedName>
    <definedName name="Table_DR_DS_Overview">Downstream!$B$4:$E$121</definedName>
    <definedName name="Table_DR_US_Overview">Upstream!$B$4:$I$27</definedName>
    <definedName name="Table_Exploration_and_Production" localSheetId="4">Upstream!$B$6:$C$27</definedName>
    <definedName name="Table_FH">'Financial highlights'!$B$4:$B$54</definedName>
    <definedName name="Table_Financial_Highlights">'Financial highlights'!$B$6:$B$54</definedName>
    <definedName name="Table_Financialinstruments_asset" localSheetId="12">'Financial instruments'!$B$6:$G$19</definedName>
    <definedName name="Table_Financialinstruments_liability" localSheetId="12">'Financial instruments'!$B$22:$G$30</definedName>
    <definedName name="Table_FS_BSP" localSheetId="14">'Related Parties'!$B$23:$D$29</definedName>
    <definedName name="Table_FS_BSP">#REF!</definedName>
    <definedName name="Table_FS_Cashflow">'Cash flows'!$B$4:$H$41</definedName>
    <definedName name="Table_FS_Financial_Instruments" localSheetId="12">'Financial instruments'!$B$4:$G$30</definedName>
    <definedName name="Table_FS_Financial_Instruments">#REF!</definedName>
    <definedName name="Table_FS_Income_Tax">'Income Tax'!$B$4:$D$10</definedName>
    <definedName name="Table_FS_IS">'Income statement'!$B$4:$I$34</definedName>
    <definedName name="Table_FS_NCI">'Net cash inflows'!$B$4:$D$9</definedName>
    <definedName name="Table_FS_Segment_reporting">'Segment reporting'!$B$6:$E$50</definedName>
    <definedName name="Table_FS_SoCI">'Statement of compr. income'!$B$4:$B$23</definedName>
    <definedName name="Table_FS_SOFP">'Statement of fin. position'!$B$4:$F$56</definedName>
    <definedName name="Table_FS_SR_Assets">'Segment reporting'!$B$55:$D$63</definedName>
    <definedName name="Table_FS_SR_SaGP">'Segment reporting'!$B$38:$E$50</definedName>
    <definedName name="Table_FS_SR_SteC">'Segment reporting'!$B$17:$E$25</definedName>
    <definedName name="Table_FS_SR_TS">'Segment reporting'!$B$27:$E$36</definedName>
    <definedName name="Table_FS_STwrP" localSheetId="14">'Related Parties'!$B$4:$F$21</definedName>
    <definedName name="Table_FS_STwrP">#REF!</definedName>
    <definedName name="Table_IAS8_Balance_sheet" localSheetId="20">'IAS8_Balance sheet impact'!$A$3:$M$54</definedName>
    <definedName name="Table_IAS8_CashFlow_Impact">'IAS8_Cash flows impact'!$A$3:$V$34</definedName>
    <definedName name="Table_IAS8_FinancialHighlights" localSheetId="22">IAS8_FinancialHighlights_DELETE!$F$7:$AA$25</definedName>
    <definedName name="Table_IAS8_income_statement">'IAS8_Income Statement impact'!$A$3:$V$30</definedName>
    <definedName name="Table_Income_Statement" localSheetId="19">'IAS8_Income Statement impact'!$A$3:$AE$24</definedName>
    <definedName name="Table_Income_Statement">'Income statement'!$B$6:$G$34</definedName>
    <definedName name="Table_Income_tax" localSheetId="11">'Income Tax'!$B$6:$C$10</definedName>
    <definedName name="Table_Property_Plant_Equipment" localSheetId="25">'PPE_QR only'!$A$3:$G$6</definedName>
    <definedName name="Table_Refining_and_Marketing" localSheetId="5">Downstream!$B$6:$C$41</definedName>
    <definedName name="Table_Related_Parties_Balance_Sheet" localSheetId="14">'Related Parties'!$B$25:$F$29</definedName>
    <definedName name="Table_Related_Parties_Balance_Sheet">#REF!</definedName>
    <definedName name="Table_Related_Parties_Transaction" localSheetId="14">'Related Parties'!$B$6:$F$21</definedName>
    <definedName name="Table_Related_Parties_Transaction">#REF!</definedName>
    <definedName name="Table_SR_Assets">'Segment reporting'!$B$57:$E$63</definedName>
    <definedName name="Table_SR_Intersegmental_sales">'Segment reporting'!$B$8:$C$15</definedName>
    <definedName name="Table_SR_IS">'Segment reporting'!$B$6:$E$15</definedName>
    <definedName name="Table_SR_Sales_to_external_customers">'Segment reporting'!$B$19:$C$25</definedName>
    <definedName name="Table_SR_Segment_and_Group_profit">'Segment reporting'!$B$40:$C$50</definedName>
    <definedName name="Table_SR_Total_sales">'Segment reporting'!$B$29:$C$36</definedName>
    <definedName name="Table_Statement_of_comprehensive_Income">'Statement of compr. income'!$B$6:$B$23</definedName>
    <definedName name="Table_Summarized_CF_statement" localSheetId="3">'Summ_CF_statement_QR only'!$A$3:$D$16</definedName>
    <definedName name="Table_Summarized_statement_of_fincancial_position">'Statement_fin_pos_(QR only)'!$A$3:$E$28</definedName>
    <definedName name="Table_Title_Page">'Title page (QR only)'!$B$4:$G$15</definedName>
    <definedName name="Table_Upstream">Upstream!$B$6:$C$27</definedName>
    <definedName name="Test">'Title page (QR only)'!$B$2:$G$15</definedName>
    <definedName name="test123">'Financial highlights'!$B$4:$I$54</definedName>
  </definedNames>
  <calcPr calcId="152511" calcMode="manual" concurrentCalc="0"/>
</workbook>
</file>

<file path=xl/calcChain.xml><?xml version="1.0" encoding="utf-8"?>
<calcChain xmlns="http://schemas.openxmlformats.org/spreadsheetml/2006/main">
  <c r="G4" i="17" l="1"/>
  <c r="B24" i="17"/>
  <c r="C24" i="17"/>
  <c r="D24" i="17"/>
  <c r="G24" i="17"/>
  <c r="H24" i="17"/>
  <c r="F24" i="17"/>
  <c r="A3" i="17"/>
  <c r="A1" i="40"/>
  <c r="A16" i="47"/>
  <c r="A17" i="17"/>
  <c r="F7" i="17"/>
  <c r="F5" i="17"/>
  <c r="A19" i="17"/>
  <c r="F14" i="17"/>
  <c r="F13" i="17"/>
  <c r="D16" i="47"/>
  <c r="D15" i="47"/>
  <c r="D13" i="47"/>
  <c r="D10" i="47"/>
  <c r="D9" i="47"/>
  <c r="D8" i="47"/>
  <c r="D7" i="47"/>
  <c r="D6" i="47"/>
  <c r="A15" i="47"/>
  <c r="A14" i="47"/>
  <c r="A13" i="47"/>
  <c r="A12" i="47"/>
  <c r="AH4" i="43"/>
  <c r="AE4" i="43"/>
  <c r="AB4" i="43"/>
  <c r="Y4" i="43"/>
  <c r="V4" i="43"/>
  <c r="S4" i="43"/>
  <c r="P4" i="43"/>
  <c r="M4" i="43"/>
  <c r="J4" i="43"/>
  <c r="G4" i="43"/>
  <c r="D4" i="43"/>
  <c r="S4" i="42"/>
  <c r="P4" i="42"/>
  <c r="M4" i="42"/>
  <c r="J4" i="42"/>
  <c r="G4" i="42"/>
  <c r="D4" i="42"/>
  <c r="AH4" i="41"/>
  <c r="AE4" i="41"/>
  <c r="AB4" i="41"/>
  <c r="Y4" i="41"/>
  <c r="V4" i="41"/>
  <c r="S4" i="41"/>
  <c r="P4" i="41"/>
  <c r="M4" i="41"/>
  <c r="J4" i="41"/>
  <c r="G4" i="41"/>
  <c r="D4" i="41"/>
  <c r="F6" i="49"/>
  <c r="D5" i="49"/>
  <c r="A1" i="49"/>
  <c r="U4" i="43"/>
  <c r="T4" i="43"/>
  <c r="O4" i="43"/>
  <c r="N4" i="43"/>
  <c r="L4" i="43"/>
  <c r="K4" i="43"/>
  <c r="F4" i="43"/>
  <c r="E4" i="43"/>
  <c r="A2" i="43"/>
  <c r="A1" i="43"/>
  <c r="C4" i="42"/>
  <c r="AG4" i="41"/>
  <c r="AF4" i="41"/>
  <c r="AA4" i="41"/>
  <c r="Z4" i="41"/>
  <c r="U4" i="41"/>
  <c r="T4" i="41"/>
  <c r="O4" i="41"/>
  <c r="N4" i="41"/>
  <c r="L4" i="41"/>
  <c r="K4" i="41"/>
  <c r="F4" i="41"/>
  <c r="E4" i="41"/>
  <c r="A1" i="41"/>
  <c r="A1" i="47"/>
  <c r="F12" i="17"/>
  <c r="A4" i="43"/>
  <c r="F16" i="46"/>
  <c r="A22" i="41"/>
  <c r="A4" i="41"/>
  <c r="A16" i="43"/>
  <c r="A5" i="47"/>
  <c r="E15" i="17"/>
  <c r="A4" i="47"/>
  <c r="C3" i="47"/>
  <c r="B3" i="47"/>
  <c r="F18" i="46"/>
  <c r="D33" i="39"/>
  <c r="D34" i="39"/>
  <c r="A11" i="47"/>
  <c r="A9" i="47"/>
  <c r="A13" i="40"/>
  <c r="F3" i="49"/>
  <c r="E3" i="49"/>
  <c r="D3" i="49"/>
  <c r="C3" i="49"/>
  <c r="A3" i="49"/>
  <c r="A6" i="49"/>
  <c r="A5" i="49"/>
  <c r="A4" i="49"/>
  <c r="A10" i="47"/>
  <c r="A8" i="47"/>
  <c r="A7" i="47"/>
  <c r="A6" i="47"/>
  <c r="A28" i="40"/>
  <c r="AH125" i="44"/>
  <c r="AD125" i="44"/>
  <c r="AC125" i="44"/>
  <c r="AB125" i="44"/>
  <c r="Y125" i="44"/>
  <c r="X125" i="44"/>
  <c r="W125" i="44"/>
  <c r="V125" i="44"/>
  <c r="U125" i="44"/>
  <c r="T125" i="44"/>
  <c r="S125" i="44"/>
  <c r="P125" i="44"/>
  <c r="M125" i="44"/>
  <c r="J125" i="44"/>
  <c r="I125" i="44"/>
  <c r="H125" i="44"/>
  <c r="G125" i="44"/>
  <c r="D125" i="44"/>
  <c r="AG124" i="44"/>
  <c r="AF124" i="44"/>
  <c r="AD124" i="44"/>
  <c r="AC124" i="44"/>
  <c r="AA124" i="44"/>
  <c r="Z124" i="44"/>
  <c r="X124" i="44"/>
  <c r="W124" i="44"/>
  <c r="U124" i="44"/>
  <c r="T124" i="44"/>
  <c r="R124" i="44"/>
  <c r="Q124" i="44"/>
  <c r="O124" i="44"/>
  <c r="N124" i="44"/>
  <c r="L124" i="44"/>
  <c r="K124" i="44"/>
  <c r="I124" i="44"/>
  <c r="H124" i="44"/>
  <c r="F124" i="44"/>
  <c r="E124" i="44"/>
  <c r="C124" i="44"/>
  <c r="B124" i="44"/>
  <c r="AH111" i="44"/>
  <c r="AD111" i="44"/>
  <c r="AC111" i="44"/>
  <c r="AB111" i="44"/>
  <c r="Y111" i="44"/>
  <c r="X111" i="44"/>
  <c r="W111" i="44"/>
  <c r="V111" i="44"/>
  <c r="U111" i="44"/>
  <c r="T111" i="44"/>
  <c r="S111" i="44"/>
  <c r="P111" i="44"/>
  <c r="M111" i="44"/>
  <c r="J111" i="44"/>
  <c r="I111" i="44"/>
  <c r="H111" i="44"/>
  <c r="G111" i="44"/>
  <c r="D111" i="44"/>
  <c r="AG110" i="44"/>
  <c r="AF110" i="44"/>
  <c r="AD110" i="44"/>
  <c r="AC110" i="44"/>
  <c r="AA110" i="44"/>
  <c r="Z110" i="44"/>
  <c r="X110" i="44"/>
  <c r="W110" i="44"/>
  <c r="U110" i="44"/>
  <c r="T110" i="44"/>
  <c r="R110" i="44"/>
  <c r="Q110" i="44"/>
  <c r="O110" i="44"/>
  <c r="N110" i="44"/>
  <c r="L110" i="44"/>
  <c r="K110" i="44"/>
  <c r="I110" i="44"/>
  <c r="H110" i="44"/>
  <c r="F110" i="44"/>
  <c r="E110" i="44"/>
  <c r="C110" i="44"/>
  <c r="B110" i="44"/>
  <c r="AH102" i="44"/>
  <c r="AD102" i="44"/>
  <c r="AC102" i="44"/>
  <c r="AB102" i="44"/>
  <c r="Y102" i="44"/>
  <c r="X102" i="44"/>
  <c r="W102" i="44"/>
  <c r="V102" i="44"/>
  <c r="U102" i="44"/>
  <c r="T102" i="44"/>
  <c r="S102" i="44"/>
  <c r="P102" i="44"/>
  <c r="M102" i="44"/>
  <c r="J102" i="44"/>
  <c r="I102" i="44"/>
  <c r="H102" i="44"/>
  <c r="G102" i="44"/>
  <c r="D102" i="44"/>
  <c r="AG101" i="44"/>
  <c r="AF101" i="44"/>
  <c r="AD101" i="44"/>
  <c r="AC101" i="44"/>
  <c r="AA101" i="44"/>
  <c r="Z101" i="44"/>
  <c r="X101" i="44"/>
  <c r="W101" i="44"/>
  <c r="U101" i="44"/>
  <c r="T101" i="44"/>
  <c r="R101" i="44"/>
  <c r="Q101" i="44"/>
  <c r="O101" i="44"/>
  <c r="N101" i="44"/>
  <c r="L101" i="44"/>
  <c r="K101" i="44"/>
  <c r="I101" i="44"/>
  <c r="H101" i="44"/>
  <c r="F101" i="44"/>
  <c r="E101" i="44"/>
  <c r="C101" i="44"/>
  <c r="B101" i="44"/>
  <c r="AH81" i="44"/>
  <c r="AD81" i="44"/>
  <c r="AC81" i="44"/>
  <c r="AB81" i="44"/>
  <c r="Y81" i="44"/>
  <c r="X81" i="44"/>
  <c r="W81" i="44"/>
  <c r="V81" i="44"/>
  <c r="U81" i="44"/>
  <c r="T81" i="44"/>
  <c r="S81" i="44"/>
  <c r="P81" i="44"/>
  <c r="M81" i="44"/>
  <c r="J81" i="44"/>
  <c r="I81" i="44"/>
  <c r="H81" i="44"/>
  <c r="G81" i="44"/>
  <c r="D81" i="44"/>
  <c r="AG80" i="44"/>
  <c r="AF80" i="44"/>
  <c r="AD80" i="44"/>
  <c r="AC80" i="44"/>
  <c r="AA80" i="44"/>
  <c r="Z80" i="44"/>
  <c r="X80" i="44"/>
  <c r="W80" i="44"/>
  <c r="U80" i="44"/>
  <c r="T80" i="44"/>
  <c r="R80" i="44"/>
  <c r="Q80" i="44"/>
  <c r="O80" i="44"/>
  <c r="N80" i="44"/>
  <c r="L80" i="44"/>
  <c r="K80" i="44"/>
  <c r="I80" i="44"/>
  <c r="H80" i="44"/>
  <c r="F80" i="44"/>
  <c r="E80" i="44"/>
  <c r="C80" i="44"/>
  <c r="B80" i="44"/>
  <c r="AH91" i="44"/>
  <c r="AD91" i="44"/>
  <c r="AC91" i="44"/>
  <c r="AB91" i="44"/>
  <c r="Y91" i="44"/>
  <c r="X91" i="44"/>
  <c r="W91" i="44"/>
  <c r="V91" i="44"/>
  <c r="U91" i="44"/>
  <c r="T91" i="44"/>
  <c r="S91" i="44"/>
  <c r="P91" i="44"/>
  <c r="M91" i="44"/>
  <c r="J91" i="44"/>
  <c r="I91" i="44"/>
  <c r="H91" i="44"/>
  <c r="G91" i="44"/>
  <c r="D91" i="44"/>
  <c r="AG90" i="44"/>
  <c r="AF90" i="44"/>
  <c r="AD90" i="44"/>
  <c r="AC90" i="44"/>
  <c r="AA90" i="44"/>
  <c r="Z90" i="44"/>
  <c r="X90" i="44"/>
  <c r="W90" i="44"/>
  <c r="U90" i="44"/>
  <c r="T90" i="44"/>
  <c r="R90" i="44"/>
  <c r="Q90" i="44"/>
  <c r="O90" i="44"/>
  <c r="N90" i="44"/>
  <c r="L90" i="44"/>
  <c r="K90" i="44"/>
  <c r="I90" i="44"/>
  <c r="H90" i="44"/>
  <c r="F90" i="44"/>
  <c r="E90" i="44"/>
  <c r="C90" i="44"/>
  <c r="B90" i="44"/>
  <c r="AH69" i="44"/>
  <c r="AD69" i="44"/>
  <c r="AC69" i="44"/>
  <c r="AB69" i="44"/>
  <c r="Y69" i="44"/>
  <c r="X69" i="44"/>
  <c r="W69" i="44"/>
  <c r="V69" i="44"/>
  <c r="U69" i="44"/>
  <c r="T69" i="44"/>
  <c r="S69" i="44"/>
  <c r="P69" i="44"/>
  <c r="M69" i="44"/>
  <c r="J69" i="44"/>
  <c r="I69" i="44"/>
  <c r="H69" i="44"/>
  <c r="G69" i="44"/>
  <c r="D69" i="44"/>
  <c r="AG68" i="44"/>
  <c r="AF68" i="44"/>
  <c r="AD68" i="44"/>
  <c r="AC68" i="44"/>
  <c r="AA68" i="44"/>
  <c r="Z68" i="44"/>
  <c r="X68" i="44"/>
  <c r="W68" i="44"/>
  <c r="U68" i="44"/>
  <c r="T68" i="44"/>
  <c r="R68" i="44"/>
  <c r="Q68" i="44"/>
  <c r="O68" i="44"/>
  <c r="N68" i="44"/>
  <c r="L68" i="44"/>
  <c r="K68" i="44"/>
  <c r="I68" i="44"/>
  <c r="H68" i="44"/>
  <c r="F68" i="44"/>
  <c r="E68" i="44"/>
  <c r="C68" i="44"/>
  <c r="B68" i="44"/>
  <c r="AH53" i="44"/>
  <c r="AD53" i="44"/>
  <c r="AC53" i="44"/>
  <c r="AB53" i="44"/>
  <c r="Y53" i="44"/>
  <c r="X53" i="44"/>
  <c r="W53" i="44"/>
  <c r="V53" i="44"/>
  <c r="U53" i="44"/>
  <c r="T53" i="44"/>
  <c r="S53" i="44"/>
  <c r="P53" i="44"/>
  <c r="M53" i="44"/>
  <c r="J53" i="44"/>
  <c r="I53" i="44"/>
  <c r="H53" i="44"/>
  <c r="G53" i="44"/>
  <c r="D53" i="44"/>
  <c r="AG52" i="44"/>
  <c r="AF52" i="44"/>
  <c r="AD52" i="44"/>
  <c r="AC52" i="44"/>
  <c r="AA52" i="44"/>
  <c r="Z52" i="44"/>
  <c r="X52" i="44"/>
  <c r="W52" i="44"/>
  <c r="U52" i="44"/>
  <c r="T52" i="44"/>
  <c r="R52" i="44"/>
  <c r="Q52" i="44"/>
  <c r="O52" i="44"/>
  <c r="N52" i="44"/>
  <c r="L52" i="44"/>
  <c r="K52" i="44"/>
  <c r="I52" i="44"/>
  <c r="H52" i="44"/>
  <c r="F52" i="44"/>
  <c r="E52" i="44"/>
  <c r="C52" i="44"/>
  <c r="B52" i="44"/>
  <c r="D9" i="41"/>
  <c r="AA8" i="46"/>
  <c r="X8" i="46"/>
  <c r="AH16" i="41"/>
  <c r="AH6" i="41"/>
  <c r="AE6" i="41"/>
  <c r="AB6" i="41"/>
  <c r="Y6" i="41"/>
  <c r="V6" i="41"/>
  <c r="S6" i="41"/>
  <c r="P6" i="41"/>
  <c r="M6" i="41"/>
  <c r="J6" i="41"/>
  <c r="G6" i="41"/>
  <c r="D6" i="41"/>
  <c r="AH7" i="41"/>
  <c r="AE7" i="41"/>
  <c r="AB7" i="41"/>
  <c r="Y7" i="41"/>
  <c r="V7" i="41"/>
  <c r="S7" i="41"/>
  <c r="P7" i="41"/>
  <c r="M7" i="41"/>
  <c r="J7" i="41"/>
  <c r="G7" i="41"/>
  <c r="D7" i="41"/>
  <c r="AH8" i="41"/>
  <c r="AE8" i="41"/>
  <c r="AB8" i="41"/>
  <c r="Y8" i="41"/>
  <c r="V8" i="41"/>
  <c r="S8" i="41"/>
  <c r="P8" i="41"/>
  <c r="M8" i="41"/>
  <c r="J8" i="41"/>
  <c r="G8" i="41"/>
  <c r="D8" i="41"/>
  <c r="AH9" i="41"/>
  <c r="AE9" i="41"/>
  <c r="AB9" i="41"/>
  <c r="Y9" i="41"/>
  <c r="V9" i="41"/>
  <c r="S9" i="41"/>
  <c r="P9" i="41"/>
  <c r="M9" i="41"/>
  <c r="J9" i="41"/>
  <c r="AH10" i="41"/>
  <c r="AE10" i="41"/>
  <c r="AB10" i="41"/>
  <c r="Y10" i="41"/>
  <c r="V10" i="41"/>
  <c r="S10" i="41"/>
  <c r="P10" i="41"/>
  <c r="M10" i="41"/>
  <c r="J10" i="41"/>
  <c r="G10" i="41"/>
  <c r="D10" i="41"/>
  <c r="AH11" i="41"/>
  <c r="AE11" i="41"/>
  <c r="AB11" i="41"/>
  <c r="Y11" i="41"/>
  <c r="V11" i="41"/>
  <c r="S11" i="41"/>
  <c r="P11" i="41"/>
  <c r="M11" i="41"/>
  <c r="J11" i="41"/>
  <c r="G11" i="41"/>
  <c r="D11" i="41"/>
  <c r="AH12" i="41"/>
  <c r="AE12" i="41"/>
  <c r="AB12" i="41"/>
  <c r="Y12" i="41"/>
  <c r="V12" i="41"/>
  <c r="S12" i="41"/>
  <c r="P12" i="41"/>
  <c r="M12" i="41"/>
  <c r="J12" i="41"/>
  <c r="G12" i="41"/>
  <c r="D12" i="41"/>
  <c r="AH13" i="41"/>
  <c r="AE13" i="41"/>
  <c r="AB13" i="41"/>
  <c r="Y13" i="41"/>
  <c r="V13" i="41"/>
  <c r="S13" i="41"/>
  <c r="P13" i="41"/>
  <c r="M13" i="41"/>
  <c r="J13" i="41"/>
  <c r="G13" i="41"/>
  <c r="D13" i="41"/>
  <c r="AH14" i="41"/>
  <c r="AE14" i="41"/>
  <c r="AB14" i="41"/>
  <c r="Y14" i="41"/>
  <c r="V14" i="41"/>
  <c r="S14" i="41"/>
  <c r="P14" i="41"/>
  <c r="M14" i="41"/>
  <c r="J14" i="41"/>
  <c r="G14" i="41"/>
  <c r="D14" i="41"/>
  <c r="AH15" i="41"/>
  <c r="AE15" i="41"/>
  <c r="AB15" i="41"/>
  <c r="Y15" i="41"/>
  <c r="V15" i="41"/>
  <c r="S15" i="41"/>
  <c r="P15" i="41"/>
  <c r="M15" i="41"/>
  <c r="J15" i="41"/>
  <c r="G15" i="41"/>
  <c r="D15" i="41"/>
  <c r="AE16" i="41"/>
  <c r="AB16" i="41"/>
  <c r="Y16" i="41"/>
  <c r="V16" i="41"/>
  <c r="S16" i="41"/>
  <c r="P16" i="41"/>
  <c r="M16" i="41"/>
  <c r="J16" i="41"/>
  <c r="G16" i="41"/>
  <c r="D16" i="41"/>
  <c r="AH17" i="41"/>
  <c r="AE17" i="41"/>
  <c r="AB17" i="41"/>
  <c r="Y17" i="41"/>
  <c r="V17" i="41"/>
  <c r="S17" i="41"/>
  <c r="P17" i="41"/>
  <c r="M17" i="41"/>
  <c r="J17" i="41"/>
  <c r="G17" i="41"/>
  <c r="D17" i="41"/>
  <c r="AH18" i="41"/>
  <c r="AE18" i="41"/>
  <c r="AB18" i="41"/>
  <c r="Y18" i="41"/>
  <c r="V18" i="41"/>
  <c r="S18" i="41"/>
  <c r="P18" i="41"/>
  <c r="M18" i="41"/>
  <c r="J18" i="41"/>
  <c r="G18" i="41"/>
  <c r="D18" i="41"/>
  <c r="AH19" i="41"/>
  <c r="AE19" i="41"/>
  <c r="AB19" i="41"/>
  <c r="Y19" i="41"/>
  <c r="V19" i="41"/>
  <c r="S19" i="41"/>
  <c r="P19" i="41"/>
  <c r="M19" i="41"/>
  <c r="J19" i="41"/>
  <c r="G19" i="41"/>
  <c r="D19" i="41"/>
  <c r="AH20" i="41"/>
  <c r="AE20" i="41"/>
  <c r="AB20" i="41"/>
  <c r="Y20" i="41"/>
  <c r="V20" i="41"/>
  <c r="S20" i="41"/>
  <c r="P20" i="41"/>
  <c r="M20" i="41"/>
  <c r="J20" i="41"/>
  <c r="G20" i="41"/>
  <c r="D20" i="41"/>
  <c r="AH21" i="41"/>
  <c r="AE21" i="41"/>
  <c r="AB21" i="41"/>
  <c r="Y21" i="41"/>
  <c r="V21" i="41"/>
  <c r="P21" i="41"/>
  <c r="M21" i="41"/>
  <c r="J21" i="41"/>
  <c r="D21" i="41"/>
  <c r="AH22" i="41"/>
  <c r="AE22" i="41"/>
  <c r="AB22" i="41"/>
  <c r="Y22" i="41"/>
  <c r="V22" i="41"/>
  <c r="S22" i="41"/>
  <c r="P22" i="41"/>
  <c r="M22" i="41"/>
  <c r="J22" i="41"/>
  <c r="G22" i="41"/>
  <c r="D22" i="41"/>
  <c r="AH23" i="41"/>
  <c r="AE23" i="41"/>
  <c r="AB23" i="41"/>
  <c r="Y23" i="41"/>
  <c r="V23" i="41"/>
  <c r="S23" i="41"/>
  <c r="P23" i="41"/>
  <c r="M23" i="41"/>
  <c r="J23" i="41"/>
  <c r="G23" i="41"/>
  <c r="D23" i="41"/>
  <c r="AH24" i="41"/>
  <c r="AE24" i="41"/>
  <c r="AB24" i="41"/>
  <c r="Y24" i="41"/>
  <c r="V24" i="41"/>
  <c r="S24" i="41"/>
  <c r="P24" i="41"/>
  <c r="M24" i="41"/>
  <c r="J24" i="41"/>
  <c r="G24" i="41"/>
  <c r="D24" i="41"/>
  <c r="AH26" i="41"/>
  <c r="AE26" i="41"/>
  <c r="AB26" i="41"/>
  <c r="Y26" i="41"/>
  <c r="V26" i="41"/>
  <c r="P26" i="41"/>
  <c r="M26" i="41"/>
  <c r="J26" i="41"/>
  <c r="G26" i="41"/>
  <c r="D26" i="41"/>
  <c r="S26" i="41"/>
  <c r="AH27" i="41"/>
  <c r="AE27" i="41"/>
  <c r="AB27" i="41"/>
  <c r="Y27" i="41"/>
  <c r="V27" i="41"/>
  <c r="S27" i="41"/>
  <c r="P27" i="41"/>
  <c r="M27" i="41"/>
  <c r="J27" i="41"/>
  <c r="G27" i="41"/>
  <c r="D27" i="41"/>
  <c r="AH28" i="41"/>
  <c r="AE28" i="41"/>
  <c r="AB28" i="41"/>
  <c r="Y28" i="41"/>
  <c r="V28" i="41"/>
  <c r="P28" i="41"/>
  <c r="M28" i="41"/>
  <c r="J28" i="41"/>
  <c r="G28" i="41"/>
  <c r="D28" i="41"/>
  <c r="S28" i="41"/>
  <c r="AH29" i="41"/>
  <c r="AE29" i="41"/>
  <c r="AB29" i="41"/>
  <c r="Y29" i="41"/>
  <c r="V29" i="41"/>
  <c r="P29" i="41"/>
  <c r="M29" i="41"/>
  <c r="J29" i="41"/>
  <c r="G29" i="41"/>
  <c r="D29" i="41"/>
  <c r="S29" i="41"/>
  <c r="AH30" i="41"/>
  <c r="AE30" i="41"/>
  <c r="AB30" i="41"/>
  <c r="Y30" i="41"/>
  <c r="V30" i="41"/>
  <c r="P30" i="41"/>
  <c r="M30" i="41"/>
  <c r="J30" i="41"/>
  <c r="G30" i="41"/>
  <c r="D30" i="41"/>
  <c r="S30" i="41"/>
  <c r="AH5" i="41"/>
  <c r="AE5" i="41"/>
  <c r="AB5" i="41"/>
  <c r="Y5" i="41"/>
  <c r="V5" i="41"/>
  <c r="S5" i="41"/>
  <c r="P5" i="41"/>
  <c r="M5" i="41"/>
  <c r="J5" i="41"/>
  <c r="G5" i="41"/>
  <c r="D5" i="41"/>
  <c r="F8" i="46"/>
  <c r="F25" i="46"/>
  <c r="F24" i="46"/>
  <c r="F23" i="46"/>
  <c r="F22" i="46"/>
  <c r="F21" i="46"/>
  <c r="F20" i="46"/>
  <c r="F19" i="46"/>
  <c r="F17" i="46"/>
  <c r="F15" i="46"/>
  <c r="F14" i="46"/>
  <c r="F12" i="46"/>
  <c r="F11" i="46"/>
  <c r="F10" i="46"/>
  <c r="F9" i="46"/>
  <c r="F13" i="46"/>
  <c r="AM8" i="46"/>
  <c r="AI8" i="46"/>
  <c r="AH8" i="46"/>
  <c r="AG8" i="46"/>
  <c r="AD8" i="46"/>
  <c r="AC8" i="46"/>
  <c r="AB8" i="46"/>
  <c r="U8" i="46"/>
  <c r="R8" i="46"/>
  <c r="O8" i="46"/>
  <c r="N8" i="46"/>
  <c r="M8" i="46"/>
  <c r="L8" i="46"/>
  <c r="I8" i="46"/>
  <c r="AL7" i="46"/>
  <c r="AK7" i="46"/>
  <c r="AI7" i="46"/>
  <c r="AH7" i="46"/>
  <c r="AF7" i="46"/>
  <c r="AE7" i="46"/>
  <c r="AC7" i="46"/>
  <c r="AB7" i="46"/>
  <c r="Z7" i="46"/>
  <c r="Y7" i="46"/>
  <c r="W7" i="46"/>
  <c r="V7" i="46"/>
  <c r="T7" i="46"/>
  <c r="S7" i="46"/>
  <c r="Q7" i="46"/>
  <c r="P7" i="46"/>
  <c r="N7" i="46"/>
  <c r="M7" i="46"/>
  <c r="K7" i="46"/>
  <c r="J7" i="46"/>
  <c r="H7" i="46"/>
  <c r="G7" i="46"/>
  <c r="A4" i="44"/>
  <c r="D4" i="44"/>
  <c r="G4" i="44"/>
  <c r="I4" i="44"/>
  <c r="H4" i="44"/>
  <c r="J4" i="44"/>
  <c r="M4" i="44"/>
  <c r="P4" i="44"/>
  <c r="S4" i="44"/>
  <c r="U4" i="44"/>
  <c r="T4" i="44"/>
  <c r="V4" i="44"/>
  <c r="X4" i="44"/>
  <c r="W4" i="44"/>
  <c r="Y4" i="44"/>
  <c r="AB4" i="44"/>
  <c r="AD4" i="44"/>
  <c r="AC4" i="44"/>
  <c r="AH4" i="44"/>
  <c r="AG3" i="44"/>
  <c r="AF3" i="44"/>
  <c r="AD3" i="44"/>
  <c r="AC3" i="44"/>
  <c r="AA3" i="44"/>
  <c r="Z3" i="44"/>
  <c r="X3" i="44"/>
  <c r="W3" i="44"/>
  <c r="U3" i="44"/>
  <c r="T3" i="44"/>
  <c r="R3" i="44"/>
  <c r="Q3" i="44"/>
  <c r="O3" i="44"/>
  <c r="N3" i="44"/>
  <c r="L3" i="44"/>
  <c r="K3" i="44"/>
  <c r="I3" i="44"/>
  <c r="H3" i="44"/>
  <c r="F3" i="44"/>
  <c r="E3" i="44"/>
  <c r="C3" i="44"/>
  <c r="B3" i="44"/>
  <c r="A4" i="42"/>
  <c r="A6" i="43"/>
  <c r="AD4" i="43"/>
  <c r="AC4" i="43"/>
  <c r="X4" i="43"/>
  <c r="W4" i="43"/>
  <c r="I4" i="43"/>
  <c r="H4" i="43"/>
  <c r="C4" i="43"/>
  <c r="B4" i="43"/>
  <c r="C4" i="41"/>
  <c r="I4" i="41"/>
  <c r="X4" i="41"/>
  <c r="AD4" i="41"/>
  <c r="AC4" i="41"/>
  <c r="W4" i="41"/>
  <c r="H4" i="41"/>
  <c r="B4" i="41"/>
  <c r="A34" i="43"/>
  <c r="A33" i="43"/>
  <c r="A32" i="43"/>
  <c r="A31" i="43"/>
  <c r="A30" i="43"/>
  <c r="A29" i="43"/>
  <c r="A28" i="43"/>
  <c r="A27" i="43"/>
  <c r="A26" i="43"/>
  <c r="A25" i="43"/>
  <c r="A24" i="43"/>
  <c r="A23" i="43"/>
  <c r="A22" i="43"/>
  <c r="A21" i="43"/>
  <c r="A20" i="43"/>
  <c r="A19" i="43"/>
  <c r="A18" i="43"/>
  <c r="A17" i="43"/>
  <c r="A15" i="43"/>
  <c r="A14" i="43"/>
  <c r="A13" i="43"/>
  <c r="A12" i="43"/>
  <c r="A11" i="43"/>
  <c r="A10" i="43"/>
  <c r="A9" i="43"/>
  <c r="A8" i="43"/>
  <c r="A7" i="43"/>
  <c r="A5" i="43"/>
  <c r="AG3" i="43"/>
  <c r="AF3" i="43"/>
  <c r="AD3" i="43"/>
  <c r="AC3" i="43"/>
  <c r="AA3" i="43"/>
  <c r="Z3" i="43"/>
  <c r="X3" i="43"/>
  <c r="W3" i="43"/>
  <c r="U3" i="43"/>
  <c r="T3" i="43"/>
  <c r="R3" i="43"/>
  <c r="Q3" i="43"/>
  <c r="O3" i="43"/>
  <c r="N3" i="43"/>
  <c r="L3" i="43"/>
  <c r="K3" i="43"/>
  <c r="I3" i="43"/>
  <c r="H3" i="43"/>
  <c r="F3" i="43"/>
  <c r="E3" i="43"/>
  <c r="C3" i="43"/>
  <c r="B3" i="43"/>
  <c r="R4" i="42"/>
  <c r="Q4" i="42"/>
  <c r="O4" i="42"/>
  <c r="N4" i="42"/>
  <c r="L4" i="42"/>
  <c r="I4" i="42"/>
  <c r="H4" i="42"/>
  <c r="F4" i="42"/>
  <c r="E4" i="42"/>
  <c r="B4" i="42"/>
  <c r="R3" i="42"/>
  <c r="Q3" i="42"/>
  <c r="O3" i="42"/>
  <c r="N3" i="42"/>
  <c r="L3" i="42"/>
  <c r="K3" i="42"/>
  <c r="I3" i="42"/>
  <c r="H3" i="42"/>
  <c r="F3" i="42"/>
  <c r="E3" i="42"/>
  <c r="C3" i="42"/>
  <c r="B3" i="42"/>
  <c r="K4" i="42"/>
  <c r="A54" i="42"/>
  <c r="A52" i="42"/>
  <c r="A51" i="42"/>
  <c r="A50" i="42"/>
  <c r="A49" i="42"/>
  <c r="A48" i="42"/>
  <c r="A47" i="42"/>
  <c r="A46" i="42"/>
  <c r="A45" i="42"/>
  <c r="A44" i="42"/>
  <c r="A43" i="42"/>
  <c r="A41" i="42"/>
  <c r="A40" i="42"/>
  <c r="A39" i="42"/>
  <c r="A38" i="42"/>
  <c r="A37" i="42"/>
  <c r="A36" i="42"/>
  <c r="A35" i="42"/>
  <c r="A34" i="42"/>
  <c r="A33" i="42"/>
  <c r="A31" i="42"/>
  <c r="A30" i="42"/>
  <c r="A29" i="42"/>
  <c r="A28" i="42"/>
  <c r="A27" i="42"/>
  <c r="A26" i="42"/>
  <c r="A25" i="42"/>
  <c r="A23" i="42"/>
  <c r="A21" i="42"/>
  <c r="A20" i="42"/>
  <c r="A19" i="42"/>
  <c r="A18" i="42"/>
  <c r="A17" i="42"/>
  <c r="A16" i="42"/>
  <c r="A15" i="42"/>
  <c r="A14" i="42"/>
  <c r="A12" i="42"/>
  <c r="A11" i="42"/>
  <c r="A10" i="42"/>
  <c r="A9" i="42"/>
  <c r="A8" i="42"/>
  <c r="A7" i="42"/>
  <c r="A6" i="42"/>
  <c r="A5" i="42"/>
  <c r="A30" i="41"/>
  <c r="A29" i="41"/>
  <c r="A28" i="41"/>
  <c r="A27" i="41"/>
  <c r="A26" i="41"/>
  <c r="A24" i="41"/>
  <c r="A23" i="41"/>
  <c r="A21" i="41"/>
  <c r="A20" i="41"/>
  <c r="A19" i="41"/>
  <c r="A18" i="41"/>
  <c r="A17" i="41"/>
  <c r="A16" i="41"/>
  <c r="A15" i="41"/>
  <c r="A14" i="41"/>
  <c r="A13" i="41"/>
  <c r="A12" i="41"/>
  <c r="A11" i="41"/>
  <c r="A10" i="41"/>
  <c r="A9" i="41"/>
  <c r="A8" i="41"/>
  <c r="A7" i="41"/>
  <c r="A6" i="41"/>
  <c r="A5" i="41"/>
  <c r="A2" i="42"/>
  <c r="A1" i="42"/>
  <c r="AG3" i="41"/>
  <c r="AF3" i="41"/>
  <c r="AD3" i="41"/>
  <c r="AC3" i="41"/>
  <c r="AA3" i="41"/>
  <c r="Z3" i="41"/>
  <c r="X3" i="41"/>
  <c r="W3" i="41"/>
  <c r="U3" i="41"/>
  <c r="T3" i="41"/>
  <c r="R3" i="41"/>
  <c r="Q3" i="41"/>
  <c r="O3" i="41"/>
  <c r="N3" i="41"/>
  <c r="L3" i="41"/>
  <c r="K3" i="41"/>
  <c r="I3" i="41"/>
  <c r="H3" i="41"/>
  <c r="F3" i="41"/>
  <c r="E3" i="41"/>
  <c r="C3" i="41"/>
  <c r="B3" i="41"/>
  <c r="A2" i="41"/>
  <c r="A26" i="40"/>
  <c r="A25" i="40"/>
  <c r="A17" i="40"/>
  <c r="A22" i="40"/>
  <c r="A9" i="40"/>
  <c r="A21" i="40"/>
  <c r="A19" i="40"/>
  <c r="A8" i="40"/>
  <c r="A6" i="40"/>
  <c r="A4" i="40"/>
  <c r="A27" i="40"/>
  <c r="A23" i="40"/>
  <c r="A24" i="40"/>
  <c r="A20" i="40"/>
  <c r="A18" i="40"/>
  <c r="A16" i="40"/>
  <c r="A15" i="40"/>
  <c r="A14" i="40"/>
  <c r="A10" i="40"/>
  <c r="A12" i="40"/>
  <c r="A11" i="40"/>
  <c r="A5" i="40"/>
  <c r="A7" i="40"/>
  <c r="B4" i="17"/>
  <c r="E27" i="39"/>
  <c r="D28" i="39"/>
  <c r="D32" i="39"/>
  <c r="D31" i="39"/>
  <c r="D2" i="39"/>
  <c r="D29" i="39"/>
  <c r="D26" i="39"/>
  <c r="D27" i="39"/>
  <c r="A20" i="17"/>
  <c r="F15" i="17"/>
  <c r="F11" i="17"/>
  <c r="A18" i="17"/>
  <c r="F10" i="17"/>
  <c r="F9" i="17"/>
  <c r="F8" i="17"/>
  <c r="F6" i="17"/>
  <c r="D4" i="17"/>
  <c r="A4" i="17"/>
  <c r="C4" i="17"/>
  <c r="G3" i="49"/>
  <c r="D3" i="40"/>
  <c r="B3" i="40"/>
  <c r="B3" i="49"/>
  <c r="H4" i="17"/>
  <c r="D9" i="39"/>
  <c r="E35" i="39"/>
  <c r="D4" i="39"/>
  <c r="D15" i="39"/>
  <c r="D8" i="39"/>
  <c r="D5" i="39"/>
  <c r="D22" i="39"/>
  <c r="D20" i="39"/>
  <c r="D19" i="39"/>
  <c r="D11" i="39"/>
  <c r="D23" i="39"/>
  <c r="D7" i="39"/>
  <c r="D16" i="39"/>
  <c r="D13" i="39"/>
  <c r="D14" i="39"/>
  <c r="D12" i="39"/>
  <c r="D10" i="39"/>
  <c r="D38" i="39"/>
  <c r="D6" i="39"/>
  <c r="D5" i="17"/>
  <c r="AK22" i="45"/>
  <c r="H59" i="45"/>
  <c r="D13" i="17"/>
  <c r="Y142" i="45"/>
  <c r="AK24" i="45"/>
  <c r="T44" i="45"/>
  <c r="V24" i="45"/>
  <c r="H8" i="17"/>
  <c r="AH29" i="45"/>
  <c r="AF39" i="45"/>
  <c r="AB17" i="45"/>
  <c r="Q18" i="45"/>
  <c r="C6" i="17"/>
  <c r="T79" i="45"/>
  <c r="AK16" i="45"/>
  <c r="W23" i="45"/>
  <c r="T21" i="45"/>
  <c r="P87" i="45"/>
  <c r="N12" i="45"/>
  <c r="E12" i="45"/>
  <c r="AI126" i="45"/>
  <c r="AH59" i="45"/>
  <c r="G38" i="45"/>
  <c r="AH31" i="45"/>
  <c r="AK37" i="45"/>
  <c r="AC29" i="45"/>
  <c r="M125" i="45"/>
  <c r="AH25" i="45"/>
  <c r="P107" i="45"/>
  <c r="AI17" i="45"/>
  <c r="Z15" i="45"/>
  <c r="Q34" i="45"/>
  <c r="Y40" i="45"/>
  <c r="Q133" i="45"/>
  <c r="AH62" i="45"/>
  <c r="K95" i="45"/>
  <c r="H115" i="45"/>
  <c r="V90" i="45"/>
  <c r="AK115" i="45"/>
  <c r="S77" i="45"/>
  <c r="AL81" i="45"/>
  <c r="G80" i="45"/>
  <c r="AC95" i="45"/>
  <c r="P15" i="45"/>
  <c r="M17" i="45"/>
  <c r="T12" i="45"/>
  <c r="Z58" i="45"/>
  <c r="T132" i="45"/>
  <c r="Y28" i="45"/>
  <c r="AE45" i="45"/>
  <c r="N34" i="45"/>
  <c r="AK74" i="45"/>
  <c r="P78" i="45"/>
  <c r="Z105" i="45"/>
  <c r="AL78" i="45"/>
  <c r="V188" i="45"/>
  <c r="AB20" i="45"/>
  <c r="Z89" i="45"/>
  <c r="T65" i="45"/>
  <c r="AH26" i="45"/>
  <c r="AK127" i="45"/>
  <c r="AC19" i="45"/>
  <c r="S177" i="45"/>
  <c r="AI97" i="45"/>
  <c r="AF97" i="45"/>
  <c r="AK17" i="45"/>
  <c r="V42" i="45"/>
  <c r="AB18" i="45"/>
  <c r="AK27" i="45"/>
  <c r="K23" i="45"/>
  <c r="V17" i="45"/>
  <c r="H28" i="45"/>
  <c r="AC63" i="45"/>
  <c r="AF58" i="45"/>
  <c r="Q24" i="45"/>
  <c r="W118" i="45"/>
  <c r="T46" i="45"/>
  <c r="Z29" i="45"/>
  <c r="W30" i="45"/>
  <c r="M80" i="45"/>
  <c r="P14" i="45"/>
  <c r="W80" i="45"/>
  <c r="M33" i="45"/>
  <c r="Y105" i="45"/>
  <c r="P37" i="45"/>
  <c r="AL169" i="45"/>
  <c r="AB178" i="45"/>
  <c r="J134" i="45"/>
  <c r="AH63" i="45"/>
  <c r="G125" i="45"/>
  <c r="AE20" i="45"/>
  <c r="M26" i="45"/>
  <c r="AC58" i="45"/>
  <c r="G75" i="45"/>
  <c r="W19" i="45"/>
  <c r="AK135" i="45"/>
  <c r="AH113" i="45"/>
  <c r="Z113" i="45"/>
  <c r="AB30" i="45"/>
  <c r="AC15" i="45"/>
  <c r="AC134" i="45"/>
  <c r="M151" i="45"/>
  <c r="G107" i="45"/>
  <c r="AB41" i="45"/>
  <c r="AC132" i="45"/>
  <c r="G27" i="45"/>
  <c r="E64" i="45"/>
  <c r="S31" i="45"/>
  <c r="H36" i="45"/>
  <c r="Y18" i="45"/>
  <c r="M59" i="45"/>
  <c r="Y10" i="45"/>
  <c r="AH117" i="45"/>
  <c r="E30" i="45"/>
  <c r="N117" i="45"/>
  <c r="AI162" i="45"/>
  <c r="J127" i="45"/>
  <c r="AL143" i="45"/>
  <c r="AB62" i="45"/>
  <c r="AH38" i="45"/>
  <c r="AC39" i="45"/>
  <c r="S188" i="45"/>
  <c r="T32" i="45"/>
  <c r="M39" i="45"/>
  <c r="J33" i="45"/>
  <c r="S32" i="45"/>
  <c r="G26" i="45"/>
  <c r="V11" i="45"/>
  <c r="AF60" i="45"/>
  <c r="M23" i="45"/>
  <c r="W58" i="45"/>
  <c r="M37" i="45"/>
  <c r="AC36" i="45"/>
  <c r="K38" i="45"/>
  <c r="G6" i="17"/>
  <c r="C7" i="17"/>
  <c r="Z62" i="45"/>
  <c r="K14" i="45"/>
  <c r="N26" i="45"/>
  <c r="N22" i="45"/>
  <c r="T19" i="45"/>
  <c r="G5" i="17"/>
  <c r="AH30" i="45"/>
  <c r="AE16" i="45"/>
  <c r="V45" i="45"/>
  <c r="G12" i="17"/>
  <c r="P136" i="45"/>
  <c r="AC14" i="45"/>
  <c r="AK20" i="45"/>
  <c r="S9" i="45"/>
  <c r="Q16" i="45"/>
  <c r="W14" i="45"/>
  <c r="Y14" i="45"/>
  <c r="M35" i="45"/>
  <c r="Z13" i="45"/>
  <c r="AI24" i="45"/>
  <c r="AE63" i="45"/>
  <c r="AB105" i="45"/>
  <c r="N32" i="45"/>
  <c r="N96" i="45"/>
  <c r="E61" i="45"/>
  <c r="Q75" i="45"/>
  <c r="M9" i="45"/>
  <c r="AH96" i="45"/>
  <c r="Q162" i="45"/>
  <c r="S162" i="45"/>
  <c r="Z34" i="45"/>
  <c r="Y89" i="45"/>
  <c r="J95" i="45"/>
  <c r="S107" i="45"/>
  <c r="G9" i="17"/>
  <c r="J106" i="45"/>
  <c r="H81" i="45"/>
  <c r="AI61" i="45"/>
  <c r="AF59" i="45"/>
  <c r="Z18" i="45"/>
  <c r="AI166" i="45"/>
  <c r="J27" i="45"/>
  <c r="P28" i="45"/>
  <c r="P115" i="45"/>
  <c r="G12" i="45"/>
  <c r="AL38" i="45"/>
  <c r="AI76" i="45"/>
  <c r="AE13" i="45"/>
  <c r="Q63" i="45"/>
  <c r="AC185" i="45"/>
  <c r="AB180" i="45"/>
  <c r="V127" i="45"/>
  <c r="AI204" i="45"/>
  <c r="AC154" i="45"/>
  <c r="K135" i="45"/>
  <c r="E15" i="45"/>
  <c r="T24" i="45"/>
  <c r="AI41" i="45"/>
  <c r="Y98" i="45"/>
  <c r="AB67" i="45"/>
  <c r="P10" i="45"/>
  <c r="AK29" i="45"/>
  <c r="E25" i="45"/>
  <c r="N142" i="45"/>
  <c r="AH163" i="45"/>
  <c r="G14" i="45"/>
  <c r="Y27" i="45"/>
  <c r="M64" i="45"/>
  <c r="P64" i="45"/>
  <c r="J79" i="45"/>
  <c r="P88" i="45"/>
  <c r="Q76" i="45"/>
  <c r="G106" i="45"/>
  <c r="H22" i="45"/>
  <c r="AL116" i="45"/>
  <c r="AE176" i="45"/>
  <c r="E106" i="45"/>
  <c r="J25" i="45"/>
  <c r="AL90" i="45"/>
  <c r="S96" i="45"/>
  <c r="G146" i="45"/>
  <c r="C9" i="17"/>
  <c r="K46" i="45"/>
  <c r="S26" i="45"/>
  <c r="AC74" i="45"/>
  <c r="V13" i="45"/>
  <c r="AH67" i="45"/>
  <c r="V12" i="45"/>
  <c r="AL60" i="45"/>
  <c r="G46" i="45"/>
  <c r="Z81" i="45"/>
  <c r="M163" i="45"/>
  <c r="N77" i="45"/>
  <c r="AI36" i="45"/>
  <c r="AB145" i="45"/>
  <c r="K89" i="45"/>
  <c r="AH191" i="45"/>
  <c r="E31" i="45"/>
  <c r="W87" i="45"/>
  <c r="AI62" i="45"/>
  <c r="M76" i="45"/>
  <c r="AK9" i="45"/>
  <c r="T22" i="45"/>
  <c r="S25" i="45"/>
  <c r="Q166" i="45"/>
  <c r="S23" i="45"/>
  <c r="M132" i="45"/>
  <c r="J13" i="45"/>
  <c r="AK78" i="45"/>
  <c r="G67" i="45"/>
  <c r="W18" i="45"/>
  <c r="K104" i="45"/>
  <c r="AL29" i="45"/>
  <c r="P9" i="45"/>
  <c r="M42" i="45"/>
  <c r="AH75" i="45"/>
  <c r="J114" i="45"/>
  <c r="AC13" i="45"/>
  <c r="H116" i="45"/>
  <c r="Q27" i="45"/>
  <c r="S38" i="45"/>
  <c r="P67" i="45"/>
  <c r="H7" i="17"/>
  <c r="AF67" i="45"/>
  <c r="AC43" i="45"/>
  <c r="T9" i="45"/>
  <c r="S16" i="45"/>
  <c r="J12" i="45"/>
  <c r="T17" i="45"/>
  <c r="E42" i="45"/>
  <c r="AK45" i="45"/>
  <c r="W37" i="45"/>
  <c r="H12" i="17"/>
  <c r="K65" i="45"/>
  <c r="AF18" i="45"/>
  <c r="W61" i="45"/>
  <c r="H16" i="45"/>
  <c r="AF26" i="45"/>
  <c r="K96" i="45"/>
  <c r="AC27" i="45"/>
  <c r="N28" i="45"/>
  <c r="J30" i="45"/>
  <c r="H10" i="17"/>
  <c r="J18" i="45"/>
  <c r="AF12" i="45"/>
  <c r="Q81" i="45"/>
  <c r="AE205" i="45"/>
  <c r="G13" i="45"/>
  <c r="M11" i="45"/>
  <c r="Q45" i="45"/>
  <c r="AC60" i="45"/>
  <c r="T10" i="45"/>
  <c r="E60" i="45"/>
  <c r="V21" i="45"/>
  <c r="V165" i="45"/>
  <c r="Z59" i="45"/>
  <c r="AE24" i="45"/>
  <c r="G113" i="45"/>
  <c r="AF191" i="45"/>
  <c r="AF127" i="45"/>
  <c r="W145" i="45"/>
  <c r="V78" i="45"/>
  <c r="AL80" i="45"/>
  <c r="AE9" i="45"/>
  <c r="V39" i="45"/>
  <c r="AE19" i="45"/>
  <c r="H142" i="45"/>
  <c r="Y76" i="45"/>
  <c r="AK19" i="45"/>
  <c r="Y96" i="45"/>
  <c r="AB106" i="45"/>
  <c r="Z137" i="45"/>
  <c r="G22" i="45"/>
  <c r="Z147" i="45"/>
  <c r="AK113" i="45"/>
  <c r="AI107" i="45"/>
  <c r="K143" i="45"/>
  <c r="AI117" i="45"/>
  <c r="AL120" i="45"/>
  <c r="N116" i="45"/>
  <c r="AH154" i="45"/>
  <c r="D7" i="17"/>
  <c r="P59" i="45"/>
  <c r="AF25" i="45"/>
  <c r="AI16" i="45"/>
  <c r="AI116" i="45"/>
  <c r="AK18" i="45"/>
  <c r="E45" i="45"/>
  <c r="AE116" i="45"/>
  <c r="E17" i="45"/>
  <c r="Y88" i="45"/>
  <c r="AE27" i="45"/>
  <c r="G138" i="45"/>
  <c r="AL40" i="45"/>
  <c r="AC116" i="45"/>
  <c r="Q146" i="45"/>
  <c r="AC80" i="45"/>
  <c r="AK120" i="45"/>
  <c r="V137" i="45"/>
  <c r="H12" i="45"/>
  <c r="AF162" i="45"/>
  <c r="AI9" i="45"/>
  <c r="AI23" i="45"/>
  <c r="S157" i="45"/>
  <c r="H64" i="45"/>
  <c r="AL185" i="45"/>
  <c r="S40" i="45"/>
  <c r="S179" i="45"/>
  <c r="G16" i="45"/>
  <c r="AH34" i="45"/>
  <c r="G97" i="45"/>
  <c r="K79" i="45"/>
  <c r="K33" i="45"/>
  <c r="T36" i="45"/>
  <c r="Q36" i="45"/>
  <c r="Y63" i="45"/>
  <c r="P90" i="45"/>
  <c r="G28" i="45"/>
  <c r="V34" i="45"/>
  <c r="AL125" i="45"/>
  <c r="AE14" i="45"/>
  <c r="Z142" i="45"/>
  <c r="AL204" i="45"/>
  <c r="Y187" i="45"/>
  <c r="T15" i="45"/>
  <c r="S61" i="45"/>
  <c r="E23" i="45"/>
  <c r="AK106" i="45"/>
  <c r="J31" i="45"/>
  <c r="K35" i="45"/>
  <c r="AE164" i="45"/>
  <c r="AE17" i="45"/>
  <c r="Y81" i="45"/>
  <c r="AK165" i="45"/>
  <c r="AI65" i="45"/>
  <c r="AC37" i="45"/>
  <c r="Z165" i="45"/>
  <c r="AI79" i="45"/>
  <c r="AI127" i="45"/>
  <c r="G201" i="45"/>
  <c r="AK154" i="45"/>
  <c r="N165" i="45"/>
  <c r="V65" i="45"/>
  <c r="AF107" i="45"/>
  <c r="C13" i="17"/>
  <c r="N15" i="45"/>
  <c r="V20" i="45"/>
  <c r="AB14" i="45"/>
  <c r="C12" i="17"/>
  <c r="V9" i="45"/>
  <c r="H13" i="17"/>
  <c r="G114" i="45"/>
  <c r="M144" i="45"/>
  <c r="AF36" i="45"/>
  <c r="G120" i="45"/>
  <c r="G17" i="45"/>
  <c r="AL179" i="45"/>
  <c r="E14" i="45"/>
  <c r="W9" i="45"/>
  <c r="AB147" i="45"/>
  <c r="AB117" i="45"/>
  <c r="AI37" i="45"/>
  <c r="Q77" i="45"/>
  <c r="AK38" i="45"/>
  <c r="AH77" i="45"/>
  <c r="S204" i="45"/>
  <c r="Q33" i="45"/>
  <c r="G41" i="45"/>
  <c r="S34" i="45"/>
  <c r="J37" i="45"/>
  <c r="AI28" i="45"/>
  <c r="P147" i="45"/>
  <c r="V15" i="45"/>
  <c r="H9" i="45"/>
  <c r="Q144" i="45"/>
  <c r="E117" i="45"/>
  <c r="AB119" i="45"/>
  <c r="H80" i="45"/>
  <c r="G126" i="45"/>
  <c r="J34" i="45"/>
  <c r="AI18" i="45"/>
  <c r="AH104" i="45"/>
  <c r="AF33" i="45"/>
  <c r="Z35" i="45"/>
  <c r="Y31" i="45"/>
  <c r="AI21" i="45"/>
  <c r="AC203" i="45"/>
  <c r="S165" i="45"/>
  <c r="S58" i="45"/>
  <c r="Z168" i="45"/>
  <c r="N107" i="45"/>
  <c r="Q199" i="45"/>
  <c r="AK147" i="45"/>
  <c r="E18" i="45"/>
  <c r="Z27" i="45"/>
  <c r="AB77" i="45"/>
  <c r="T43" i="45"/>
  <c r="H155" i="45"/>
  <c r="AE81" i="45"/>
  <c r="Z16" i="45"/>
  <c r="AE10" i="45"/>
  <c r="AF138" i="45"/>
  <c r="AI77" i="45"/>
  <c r="Z30" i="45"/>
  <c r="G147" i="45"/>
  <c r="S81" i="45"/>
  <c r="N125" i="45"/>
  <c r="V22" i="45"/>
  <c r="J151" i="45"/>
  <c r="AE59" i="45"/>
  <c r="H74" i="45"/>
  <c r="M175" i="45"/>
  <c r="J59" i="45"/>
  <c r="AE190" i="45"/>
  <c r="N79" i="45"/>
  <c r="G63" i="45"/>
  <c r="H18" i="45"/>
  <c r="N81" i="45"/>
  <c r="K22" i="45"/>
  <c r="Z135" i="45"/>
  <c r="AE118" i="45"/>
  <c r="P103" i="45"/>
  <c r="AK15" i="45"/>
  <c r="K13" i="45"/>
  <c r="G74" i="45"/>
  <c r="AF152" i="45"/>
  <c r="AE134" i="45"/>
  <c r="AH40" i="45"/>
  <c r="AC32" i="45"/>
  <c r="W163" i="45"/>
  <c r="AB11" i="45"/>
  <c r="AL18" i="45"/>
  <c r="E144" i="45"/>
  <c r="AL27" i="45"/>
  <c r="M30" i="45"/>
  <c r="P17" i="45"/>
  <c r="AL21" i="45"/>
  <c r="N115" i="45"/>
  <c r="W35" i="45"/>
  <c r="K25" i="45"/>
  <c r="G18" i="45"/>
  <c r="AF23" i="45"/>
  <c r="AH65" i="45"/>
  <c r="Y120" i="45"/>
  <c r="N16" i="45"/>
  <c r="G144" i="45"/>
  <c r="Q22" i="45"/>
  <c r="AL154" i="45"/>
  <c r="T114" i="45"/>
  <c r="T77" i="45"/>
  <c r="AK125" i="45"/>
  <c r="AK205" i="45"/>
  <c r="K164" i="45"/>
  <c r="AK107" i="45"/>
  <c r="AF17" i="45"/>
  <c r="E169" i="45"/>
  <c r="AK64" i="45"/>
  <c r="N36" i="45"/>
  <c r="V62" i="45"/>
  <c r="AH24" i="45"/>
  <c r="AL119" i="45"/>
  <c r="AC26" i="45"/>
  <c r="AC17" i="45"/>
  <c r="H170" i="45"/>
  <c r="W188" i="45"/>
  <c r="M134" i="45"/>
  <c r="V87" i="45"/>
  <c r="S12" i="45"/>
  <c r="Z203" i="45"/>
  <c r="S59" i="45"/>
  <c r="H15" i="17"/>
  <c r="G20" i="45"/>
  <c r="K24" i="45"/>
  <c r="K76" i="45"/>
  <c r="G7" i="17"/>
  <c r="Z11" i="45"/>
  <c r="AF22" i="45"/>
  <c r="AC21" i="45"/>
  <c r="AK90" i="45"/>
  <c r="AK23" i="45"/>
  <c r="AF87" i="45"/>
  <c r="W45" i="45"/>
  <c r="AI34" i="45"/>
  <c r="H26" i="45"/>
  <c r="AC142" i="45"/>
  <c r="P204" i="45"/>
  <c r="H157" i="45"/>
  <c r="Q59" i="45"/>
  <c r="T29" i="45"/>
  <c r="H21" i="45"/>
  <c r="M142" i="45"/>
  <c r="AC18" i="45"/>
  <c r="J62" i="45"/>
  <c r="E78" i="45"/>
  <c r="AK119" i="45"/>
  <c r="AC31" i="45"/>
  <c r="T144" i="45"/>
  <c r="E175" i="45"/>
  <c r="P58" i="45"/>
  <c r="M90" i="45"/>
  <c r="H11" i="45"/>
  <c r="W74" i="45"/>
  <c r="AK170" i="45"/>
  <c r="E37" i="45"/>
  <c r="AI60" i="45"/>
  <c r="S103" i="45"/>
  <c r="N37" i="45"/>
  <c r="S21" i="45"/>
  <c r="Y24" i="45"/>
  <c r="AK96" i="45"/>
  <c r="AL115" i="45"/>
  <c r="A13" i="17"/>
  <c r="G31" i="45"/>
  <c r="AF75" i="45"/>
  <c r="S117" i="45"/>
  <c r="G82" i="45"/>
  <c r="AL66" i="45"/>
  <c r="AB155" i="45"/>
  <c r="G178" i="45"/>
  <c r="H146" i="45"/>
  <c r="AF204" i="45"/>
  <c r="G79" i="45"/>
  <c r="AH88" i="45"/>
  <c r="H65" i="45"/>
  <c r="M25" i="45"/>
  <c r="AL22" i="45"/>
  <c r="S95" i="45"/>
  <c r="Q15" i="45"/>
  <c r="T82" i="45"/>
  <c r="V58" i="45"/>
  <c r="W27" i="45"/>
  <c r="G30" i="45"/>
  <c r="N137" i="45"/>
  <c r="Y119" i="45"/>
  <c r="AK28" i="45"/>
  <c r="W64" i="45"/>
  <c r="W15" i="45"/>
  <c r="Z127" i="45"/>
  <c r="AK58" i="45"/>
  <c r="J199" i="45"/>
  <c r="Z205" i="45"/>
  <c r="V152" i="45"/>
  <c r="AH133" i="45"/>
  <c r="AI42" i="45"/>
  <c r="D10" i="17"/>
  <c r="G37" i="45"/>
  <c r="M13" i="45"/>
  <c r="S24" i="45"/>
  <c r="H42" i="45"/>
  <c r="Y167" i="45"/>
  <c r="AB134" i="45"/>
  <c r="H35" i="45"/>
  <c r="AH74" i="45"/>
  <c r="E151" i="45"/>
  <c r="AL142" i="45"/>
  <c r="Y75" i="45"/>
  <c r="Z115" i="45"/>
  <c r="AB169" i="45"/>
  <c r="AH78" i="45"/>
  <c r="Q89" i="45"/>
  <c r="W43" i="45"/>
  <c r="AL36" i="45"/>
  <c r="AI118" i="45"/>
  <c r="H67" i="45"/>
  <c r="M96" i="45"/>
  <c r="AB64" i="45"/>
  <c r="Q127" i="45"/>
  <c r="AC82" i="45"/>
  <c r="AK187" i="45"/>
  <c r="W34" i="45"/>
  <c r="Y145" i="45"/>
  <c r="H90" i="45"/>
  <c r="AL17" i="45"/>
  <c r="S133" i="45"/>
  <c r="AH126" i="45"/>
  <c r="E177" i="45"/>
  <c r="Q125" i="45"/>
  <c r="J167" i="45"/>
  <c r="T107" i="45"/>
  <c r="W202" i="45"/>
  <c r="J29" i="45"/>
  <c r="AL156" i="45"/>
  <c r="T23" i="45"/>
  <c r="N21" i="45"/>
  <c r="G89" i="45"/>
  <c r="AB36" i="45"/>
  <c r="AH39" i="45"/>
  <c r="Z134" i="45"/>
  <c r="AB24" i="45"/>
  <c r="K168" i="45"/>
  <c r="AB46" i="45"/>
  <c r="AH18" i="45"/>
  <c r="D12" i="17"/>
  <c r="AB25" i="45"/>
  <c r="Y20" i="45"/>
  <c r="V74" i="45"/>
  <c r="AL25" i="45"/>
  <c r="P23" i="45"/>
  <c r="G65" i="45"/>
  <c r="E133" i="45"/>
  <c r="T27" i="45"/>
  <c r="Y151" i="45"/>
  <c r="H9" i="17"/>
  <c r="AH58" i="45"/>
  <c r="AE155" i="45"/>
  <c r="J10" i="45"/>
  <c r="H37" i="45"/>
  <c r="AK35" i="45"/>
  <c r="Z23" i="45"/>
  <c r="AL10" i="45"/>
  <c r="V28" i="45"/>
  <c r="V104" i="45"/>
  <c r="Z36" i="45"/>
  <c r="AK34" i="45"/>
  <c r="W106" i="45"/>
  <c r="K31" i="45"/>
  <c r="N78" i="45"/>
  <c r="AK31" i="45"/>
  <c r="N10" i="45"/>
  <c r="M104" i="45"/>
  <c r="AB75" i="45"/>
  <c r="AL67" i="45"/>
  <c r="J201" i="45"/>
  <c r="AC115" i="45"/>
  <c r="P180" i="45"/>
  <c r="AK143" i="45"/>
  <c r="G11" i="17"/>
  <c r="AE67" i="45"/>
  <c r="AC20" i="45"/>
  <c r="S33" i="45"/>
  <c r="W116" i="45"/>
  <c r="W44" i="45"/>
  <c r="K37" i="45"/>
  <c r="AE76" i="45"/>
  <c r="P32" i="45"/>
  <c r="AL166" i="45"/>
  <c r="AF29" i="45"/>
  <c r="AI22" i="45"/>
  <c r="AL191" i="45"/>
  <c r="P60" i="45"/>
  <c r="C5" i="17"/>
  <c r="M40" i="45"/>
  <c r="P22" i="45"/>
  <c r="AB23" i="45"/>
  <c r="K120" i="45"/>
  <c r="N61" i="45"/>
  <c r="AF142" i="45"/>
  <c r="AE202" i="45"/>
  <c r="J60" i="45"/>
  <c r="S17" i="45"/>
  <c r="M120" i="45"/>
  <c r="Q67" i="45"/>
  <c r="N88" i="45"/>
  <c r="Q64" i="45"/>
  <c r="H38" i="45"/>
  <c r="V190" i="45"/>
  <c r="V64" i="45"/>
  <c r="T59" i="45"/>
  <c r="AB89" i="45"/>
  <c r="A8" i="17"/>
  <c r="P62" i="45"/>
  <c r="AI132" i="45"/>
  <c r="AB164" i="45"/>
  <c r="AH118" i="45"/>
  <c r="AC38" i="45"/>
  <c r="S153" i="45"/>
  <c r="AF164" i="45"/>
  <c r="E20" i="45"/>
  <c r="E161" i="45"/>
  <c r="W39" i="45"/>
  <c r="K154" i="45"/>
  <c r="N9" i="45"/>
  <c r="AI43" i="45"/>
  <c r="AC167" i="45"/>
  <c r="AK89" i="45"/>
  <c r="Q60" i="45"/>
  <c r="Z204" i="45"/>
  <c r="AB177" i="45"/>
  <c r="G21" i="45"/>
  <c r="P26" i="45"/>
  <c r="AL35" i="45"/>
  <c r="V26" i="45"/>
  <c r="Q74" i="45"/>
  <c r="K176" i="45"/>
  <c r="E11" i="45"/>
  <c r="W180" i="45"/>
  <c r="J20" i="45"/>
  <c r="E164" i="45"/>
  <c r="Z32" i="45"/>
  <c r="S66" i="45"/>
  <c r="Y166" i="45"/>
  <c r="J65" i="45"/>
  <c r="Z46" i="45"/>
  <c r="AE119" i="45"/>
  <c r="G163" i="45"/>
  <c r="AI202" i="45"/>
  <c r="W40" i="45"/>
  <c r="Q23" i="45"/>
  <c r="M127" i="45"/>
  <c r="M88" i="45"/>
  <c r="AC79" i="45"/>
  <c r="M31" i="45"/>
  <c r="E24" i="45"/>
  <c r="J153" i="45"/>
  <c r="AB168" i="45"/>
  <c r="P30" i="45"/>
  <c r="K66" i="45"/>
  <c r="AK60" i="45"/>
  <c r="Q88" i="45"/>
  <c r="H19" i="45"/>
  <c r="AI104" i="45"/>
  <c r="Y137" i="45"/>
  <c r="H118" i="45"/>
  <c r="AE98" i="45"/>
  <c r="Y136" i="45"/>
  <c r="G8" i="17"/>
  <c r="N41" i="45"/>
  <c r="S28" i="45"/>
  <c r="M61" i="45"/>
  <c r="G10" i="45"/>
  <c r="H177" i="45"/>
  <c r="W20" i="45"/>
  <c r="Y97" i="45"/>
  <c r="P38" i="45"/>
  <c r="AL76" i="45"/>
  <c r="AF30" i="45"/>
  <c r="C10" i="17"/>
  <c r="AB13" i="45"/>
  <c r="N103" i="45"/>
  <c r="Z45" i="45"/>
  <c r="AH175" i="45"/>
  <c r="S14" i="45"/>
  <c r="AL151" i="45"/>
  <c r="J165" i="45"/>
  <c r="AF146" i="45"/>
  <c r="AE33" i="45"/>
  <c r="AH12" i="45"/>
  <c r="H25" i="45"/>
  <c r="K16" i="45"/>
  <c r="AL45" i="45"/>
  <c r="AB81" i="45"/>
  <c r="D9" i="17"/>
  <c r="AI134" i="45"/>
  <c r="AC96" i="45"/>
  <c r="AI33" i="45"/>
  <c r="V146" i="45"/>
  <c r="AF126" i="45"/>
  <c r="P95" i="45"/>
  <c r="P142" i="45"/>
  <c r="G13" i="17"/>
  <c r="W59" i="45"/>
  <c r="AF166" i="45"/>
  <c r="H63" i="45"/>
  <c r="H168" i="45"/>
  <c r="AC145" i="45"/>
  <c r="AH37" i="45"/>
  <c r="J136" i="45"/>
  <c r="AE187" i="45"/>
  <c r="V106" i="45"/>
  <c r="AC42" i="45"/>
  <c r="S45" i="45"/>
  <c r="Z19" i="45"/>
  <c r="AL146" i="45"/>
  <c r="AC10" i="45"/>
  <c r="AH23" i="45"/>
  <c r="E34" i="45"/>
  <c r="AK179" i="45"/>
  <c r="V23" i="45"/>
  <c r="AH13" i="45"/>
  <c r="AK157" i="45"/>
  <c r="AC113" i="45"/>
  <c r="AL23" i="45"/>
  <c r="AK25" i="45"/>
  <c r="AI185" i="45"/>
  <c r="P80" i="45"/>
  <c r="Z179" i="45"/>
  <c r="AK203" i="45"/>
  <c r="E132" i="45"/>
  <c r="P120" i="45"/>
  <c r="J188" i="45"/>
  <c r="M63" i="45"/>
  <c r="W32" i="45"/>
  <c r="S37" i="45"/>
  <c r="G191" i="45"/>
  <c r="N20" i="45"/>
  <c r="H125" i="45"/>
  <c r="AL61" i="45"/>
  <c r="AI10" i="45"/>
  <c r="Y170" i="45"/>
  <c r="H153" i="45"/>
  <c r="Q168" i="45"/>
  <c r="E135" i="45"/>
  <c r="AK104" i="45"/>
  <c r="Y186" i="45"/>
  <c r="AC126" i="45"/>
  <c r="AH82" i="45"/>
  <c r="Q118" i="45"/>
  <c r="P201" i="45"/>
  <c r="Y19" i="45"/>
  <c r="AK126" i="45"/>
  <c r="K191" i="45"/>
  <c r="AL152" i="45"/>
  <c r="AH28" i="45"/>
  <c r="E145" i="45"/>
  <c r="AB37" i="45"/>
  <c r="AE89" i="45"/>
  <c r="J156" i="45"/>
  <c r="M146" i="45"/>
  <c r="V63" i="45"/>
  <c r="Y66" i="45"/>
  <c r="Z88" i="45"/>
  <c r="P35" i="45"/>
  <c r="H105" i="45"/>
  <c r="N30" i="45"/>
  <c r="A5" i="17"/>
  <c r="AE35" i="45"/>
  <c r="V80" i="45"/>
  <c r="K180" i="45"/>
  <c r="Q37" i="45"/>
  <c r="AB31" i="45"/>
  <c r="AK167" i="45"/>
  <c r="AB35" i="45"/>
  <c r="T42" i="45"/>
  <c r="AK59" i="45"/>
  <c r="M199" i="45"/>
  <c r="AK82" i="45"/>
  <c r="W63" i="45"/>
  <c r="T113" i="45"/>
  <c r="Y185" i="45"/>
  <c r="Y62" i="45"/>
  <c r="E146" i="45"/>
  <c r="AF169" i="45"/>
  <c r="S190" i="45"/>
  <c r="AB114" i="45"/>
  <c r="S63" i="45"/>
  <c r="V61" i="45"/>
  <c r="E28" i="45"/>
  <c r="M133" i="45"/>
  <c r="E36" i="45"/>
  <c r="J98" i="45"/>
  <c r="M145" i="45"/>
  <c r="M179" i="45"/>
  <c r="AF161" i="45"/>
  <c r="G180" i="45"/>
  <c r="Q20" i="45"/>
  <c r="V27" i="45"/>
  <c r="AF119" i="45"/>
  <c r="AH97" i="45"/>
  <c r="A12" i="17"/>
  <c r="Z26" i="45"/>
  <c r="AE170" i="45"/>
  <c r="S118" i="45"/>
  <c r="AF65" i="45"/>
  <c r="T116" i="45"/>
  <c r="AB10" i="45"/>
  <c r="Y60" i="45"/>
  <c r="Y61" i="45"/>
  <c r="Q119" i="45"/>
  <c r="Y74" i="45"/>
  <c r="P146" i="45"/>
  <c r="K12" i="45"/>
  <c r="V126" i="45"/>
  <c r="T41" i="45"/>
  <c r="AE21" i="45"/>
  <c r="P74" i="45"/>
  <c r="AI119" i="45"/>
  <c r="J36" i="45"/>
  <c r="AC12" i="45"/>
  <c r="T205" i="45"/>
  <c r="T138" i="45"/>
  <c r="S44" i="45"/>
  <c r="W60" i="45"/>
  <c r="S114" i="45"/>
  <c r="W67" i="45"/>
  <c r="Q97" i="45"/>
  <c r="H14" i="45"/>
  <c r="AI35" i="45"/>
  <c r="AB12" i="45"/>
  <c r="H39" i="45"/>
  <c r="S201" i="45"/>
  <c r="E82" i="45"/>
  <c r="AC87" i="45"/>
  <c r="AC30" i="45"/>
  <c r="P138" i="45"/>
  <c r="Q190" i="45"/>
  <c r="AH27" i="45"/>
  <c r="Y13" i="45"/>
  <c r="G33" i="45"/>
  <c r="AB88" i="45"/>
  <c r="AE82" i="45"/>
  <c r="AF115" i="45"/>
  <c r="AC98" i="45"/>
  <c r="H187" i="45"/>
  <c r="AK169" i="45"/>
  <c r="P178" i="45"/>
  <c r="AH14" i="45"/>
  <c r="J142" i="45"/>
  <c r="AC133" i="45"/>
  <c r="AK152" i="45"/>
  <c r="Z187" i="45"/>
  <c r="Y132" i="45"/>
  <c r="AL30" i="45"/>
  <c r="AK80" i="45"/>
  <c r="M24" i="45"/>
  <c r="T179" i="45"/>
  <c r="AB33" i="45"/>
  <c r="Y155" i="45"/>
  <c r="T203" i="45"/>
  <c r="AI120" i="45"/>
  <c r="H79" i="45"/>
  <c r="AC22" i="45"/>
  <c r="Q9" i="45"/>
  <c r="AC205" i="45"/>
  <c r="Z185" i="45"/>
  <c r="V107" i="45"/>
  <c r="AB143" i="45"/>
  <c r="J74" i="45"/>
  <c r="N98" i="45"/>
  <c r="S119" i="45"/>
  <c r="Z25" i="45"/>
  <c r="AL189" i="45"/>
  <c r="V40" i="45"/>
  <c r="N189" i="45"/>
  <c r="AI63" i="45"/>
  <c r="T135" i="45"/>
  <c r="AC135" i="45"/>
  <c r="N80" i="45"/>
  <c r="N75" i="45"/>
  <c r="Q115" i="45"/>
  <c r="Y11" i="45"/>
  <c r="M152" i="45"/>
  <c r="G61" i="45"/>
  <c r="J89" i="45"/>
  <c r="AL95" i="45"/>
  <c r="W77" i="45"/>
  <c r="AH22" i="45"/>
  <c r="H114" i="45"/>
  <c r="V31" i="45"/>
  <c r="AC118" i="45"/>
  <c r="P105" i="45"/>
  <c r="Z12" i="45"/>
  <c r="J21" i="45"/>
  <c r="Q19" i="45"/>
  <c r="Z14" i="45"/>
  <c r="Q126" i="45"/>
  <c r="H45" i="45"/>
  <c r="AK40" i="45"/>
  <c r="AK65" i="45"/>
  <c r="J58" i="45"/>
  <c r="Z64" i="45"/>
  <c r="J152" i="45"/>
  <c r="AI13" i="45"/>
  <c r="AK164" i="45"/>
  <c r="AI12" i="45"/>
  <c r="AC157" i="45"/>
  <c r="J40" i="45"/>
  <c r="AH11" i="45"/>
  <c r="J164" i="45"/>
  <c r="Z146" i="45"/>
  <c r="H152" i="45"/>
  <c r="P144" i="45"/>
  <c r="W29" i="45"/>
  <c r="AK77" i="45"/>
  <c r="T30" i="45"/>
  <c r="E104" i="45"/>
  <c r="AF125" i="45"/>
  <c r="AH46" i="45"/>
  <c r="S39" i="45"/>
  <c r="T11" i="45"/>
  <c r="Q46" i="45"/>
  <c r="M143" i="45"/>
  <c r="N200" i="45"/>
  <c r="J26" i="45"/>
  <c r="AE65" i="45"/>
  <c r="E41" i="45"/>
  <c r="Q35" i="45"/>
  <c r="G77" i="45"/>
  <c r="N58" i="45"/>
  <c r="AB97" i="45"/>
  <c r="AF132" i="45"/>
  <c r="Y190" i="45"/>
  <c r="M18" i="45"/>
  <c r="AF27" i="45"/>
  <c r="Y144" i="45"/>
  <c r="AI67" i="45"/>
  <c r="Y67" i="45"/>
  <c r="P36" i="45"/>
  <c r="AI164" i="45"/>
  <c r="AC202" i="45"/>
  <c r="Y177" i="45"/>
  <c r="Y191" i="45"/>
  <c r="W33" i="45"/>
  <c r="AC59" i="45"/>
  <c r="AH76" i="45"/>
  <c r="K152" i="45"/>
  <c r="AK62" i="45"/>
  <c r="S11" i="45"/>
  <c r="AE175" i="45"/>
  <c r="H11" i="17"/>
  <c r="H188" i="45"/>
  <c r="H75" i="45"/>
  <c r="AK163" i="45"/>
  <c r="J105" i="45"/>
  <c r="P45" i="45"/>
  <c r="P16" i="45"/>
  <c r="AL20" i="45"/>
  <c r="AF9" i="45"/>
  <c r="T14" i="45"/>
  <c r="AK103" i="45"/>
  <c r="AB59" i="45"/>
  <c r="Z87" i="45"/>
  <c r="N40" i="45"/>
  <c r="S20" i="45"/>
  <c r="P79" i="45"/>
  <c r="Z38" i="45"/>
  <c r="J23" i="45"/>
  <c r="W12" i="45"/>
  <c r="H13" i="45"/>
  <c r="AL162" i="45"/>
  <c r="AB154" i="45"/>
  <c r="P152" i="45"/>
  <c r="S80" i="45"/>
  <c r="T188" i="45"/>
  <c r="T146" i="45"/>
  <c r="T39" i="45"/>
  <c r="H163" i="45"/>
  <c r="AI169" i="45"/>
  <c r="AK12" i="45"/>
  <c r="AC46" i="45"/>
  <c r="AI80" i="45"/>
  <c r="N35" i="45"/>
  <c r="G145" i="45"/>
  <c r="K136" i="45"/>
  <c r="W166" i="45"/>
  <c r="AB126" i="45"/>
  <c r="J19" i="45"/>
  <c r="E63" i="45"/>
  <c r="AC178" i="45"/>
  <c r="AB22" i="45"/>
  <c r="P191" i="45"/>
  <c r="AH105" i="45"/>
  <c r="AE204" i="45"/>
  <c r="AK132" i="45"/>
  <c r="K28" i="45"/>
  <c r="Y9" i="45"/>
  <c r="AL82" i="45"/>
  <c r="AF35" i="45"/>
  <c r="AE106" i="45"/>
  <c r="AI25" i="45"/>
  <c r="Z114" i="45"/>
  <c r="Z28" i="45"/>
  <c r="AL167" i="45"/>
  <c r="AF28" i="45"/>
  <c r="H77" i="45"/>
  <c r="M22" i="45"/>
  <c r="Y77" i="45"/>
  <c r="W125" i="45"/>
  <c r="P114" i="45"/>
  <c r="H41" i="45"/>
  <c r="T136" i="45"/>
  <c r="AE125" i="45"/>
  <c r="K145" i="45"/>
  <c r="J67" i="45"/>
  <c r="V29" i="45"/>
  <c r="H103" i="45"/>
  <c r="S169" i="45"/>
  <c r="AF116" i="45"/>
  <c r="AL132" i="45"/>
  <c r="AB40" i="45"/>
  <c r="AE103" i="45"/>
  <c r="T118" i="45"/>
  <c r="J39" i="45"/>
  <c r="E26" i="45"/>
  <c r="Y156" i="45"/>
  <c r="V179" i="45"/>
  <c r="G175" i="45"/>
  <c r="M103" i="45"/>
  <c r="G170" i="45"/>
  <c r="AL157" i="45"/>
  <c r="S176" i="45"/>
  <c r="S199" i="45"/>
  <c r="G87" i="45"/>
  <c r="W75" i="45"/>
  <c r="N132" i="45"/>
  <c r="V120" i="45"/>
  <c r="AI32" i="45"/>
  <c r="E156" i="45"/>
  <c r="V186" i="45"/>
  <c r="Z78" i="45"/>
  <c r="AB142" i="45"/>
  <c r="AF46" i="45"/>
  <c r="K187" i="45"/>
  <c r="K58" i="45"/>
  <c r="AF98" i="45"/>
  <c r="AF78" i="45"/>
  <c r="Y126" i="45"/>
  <c r="W95" i="45"/>
  <c r="J46" i="45"/>
  <c r="P31" i="45"/>
  <c r="W176" i="45"/>
  <c r="W21" i="45"/>
  <c r="Q142" i="45"/>
  <c r="AF105" i="45"/>
  <c r="M10" i="45"/>
  <c r="AI15" i="45"/>
  <c r="N76" i="45"/>
  <c r="AE87" i="45"/>
  <c r="W113" i="45"/>
  <c r="AE77" i="45"/>
  <c r="T74" i="45"/>
  <c r="G32" i="45"/>
  <c r="AF205" i="45"/>
  <c r="J32" i="45"/>
  <c r="G104" i="45"/>
  <c r="G179" i="45"/>
  <c r="S138" i="45"/>
  <c r="E116" i="45"/>
  <c r="AL15" i="45"/>
  <c r="AC186" i="45"/>
  <c r="AB27" i="45"/>
  <c r="V41" i="45"/>
  <c r="M20" i="45"/>
  <c r="E67" i="45"/>
  <c r="AC77" i="45"/>
  <c r="Q156" i="45"/>
  <c r="AH114" i="45"/>
  <c r="N11" i="45"/>
  <c r="AE75" i="45"/>
  <c r="AC169" i="45"/>
  <c r="P143" i="45"/>
  <c r="T142" i="45"/>
  <c r="Q178" i="45"/>
  <c r="Q134" i="45"/>
  <c r="P12" i="45"/>
  <c r="S187" i="45"/>
  <c r="Y35" i="45"/>
  <c r="AI29" i="45"/>
  <c r="V177" i="45"/>
  <c r="AK178" i="45"/>
  <c r="AB74" i="45"/>
  <c r="Z151" i="45"/>
  <c r="N14" i="45"/>
  <c r="Z106" i="45"/>
  <c r="M14" i="45"/>
  <c r="E21" i="45"/>
  <c r="J145" i="45"/>
  <c r="AL63" i="45"/>
  <c r="Q13" i="45"/>
  <c r="E32" i="45"/>
  <c r="E120" i="45"/>
  <c r="Z98" i="45"/>
  <c r="E143" i="45"/>
  <c r="AH90" i="45"/>
  <c r="N82" i="45"/>
  <c r="W65" i="45"/>
  <c r="Q145" i="45"/>
  <c r="M12" i="45"/>
  <c r="AI74" i="45"/>
  <c r="AL12" i="45"/>
  <c r="Q177" i="45"/>
  <c r="S104" i="45"/>
  <c r="AI11" i="45"/>
  <c r="H62" i="45"/>
  <c r="AH10" i="45"/>
  <c r="S145" i="45"/>
  <c r="AL113" i="45"/>
  <c r="AI95" i="45"/>
  <c r="T152" i="45"/>
  <c r="W82" i="45"/>
  <c r="AE147" i="45"/>
  <c r="T31" i="45"/>
  <c r="AI39" i="45"/>
  <c r="G116" i="45"/>
  <c r="AF170" i="45"/>
  <c r="Q17" i="45"/>
  <c r="AI201" i="45"/>
  <c r="K156" i="45"/>
  <c r="Y64" i="45"/>
  <c r="AL16" i="45"/>
  <c r="Y169" i="45"/>
  <c r="M66" i="45"/>
  <c r="H186" i="45"/>
  <c r="W62" i="45"/>
  <c r="V114" i="45"/>
  <c r="T143" i="45"/>
  <c r="AK146" i="45"/>
  <c r="AF114" i="45"/>
  <c r="AL32" i="45"/>
  <c r="T26" i="45"/>
  <c r="W90" i="45"/>
  <c r="S89" i="45"/>
  <c r="T157" i="45"/>
  <c r="J81" i="45"/>
  <c r="AB9" i="45"/>
  <c r="J64" i="45"/>
  <c r="AE96" i="45"/>
  <c r="M87" i="45"/>
  <c r="M65" i="45"/>
  <c r="G205" i="45"/>
  <c r="S156" i="45"/>
  <c r="W24" i="45"/>
  <c r="P167" i="45"/>
  <c r="K60" i="45"/>
  <c r="N205" i="45"/>
  <c r="Q82" i="45"/>
  <c r="Y178" i="45"/>
  <c r="K18" i="45"/>
  <c r="AH180" i="45"/>
  <c r="V19" i="45"/>
  <c r="N179" i="45"/>
  <c r="AB26" i="45"/>
  <c r="V144" i="45"/>
  <c r="V98" i="45"/>
  <c r="W185" i="45"/>
  <c r="AB144" i="45"/>
  <c r="M38" i="45"/>
  <c r="Q78" i="45"/>
  <c r="AL34" i="45"/>
  <c r="S88" i="45"/>
  <c r="E188" i="45"/>
  <c r="K106" i="45"/>
  <c r="AI167" i="45"/>
  <c r="S13" i="45"/>
  <c r="Q28" i="45"/>
  <c r="AK144" i="45"/>
  <c r="AH45" i="45"/>
  <c r="AC201" i="45"/>
  <c r="Q26" i="45"/>
  <c r="J204" i="45"/>
  <c r="H98" i="45"/>
  <c r="T187" i="45"/>
  <c r="AF156" i="45"/>
  <c r="H169" i="45"/>
  <c r="S186" i="45"/>
  <c r="Z75" i="45"/>
  <c r="AB188" i="45"/>
  <c r="H199" i="45"/>
  <c r="Z154" i="45"/>
  <c r="H201" i="45"/>
  <c r="AE46" i="45"/>
  <c r="AB103" i="45"/>
  <c r="AB104" i="45"/>
  <c r="AK66" i="45"/>
  <c r="M41" i="45"/>
  <c r="AB38" i="45"/>
  <c r="T75" i="45"/>
  <c r="AB179" i="45"/>
  <c r="AH36" i="45"/>
  <c r="AL168" i="45"/>
  <c r="Z157" i="45"/>
  <c r="M177" i="45"/>
  <c r="E103" i="45"/>
  <c r="N87" i="45"/>
  <c r="P39" i="45"/>
  <c r="V25" i="45"/>
  <c r="Q147" i="45"/>
  <c r="Y143" i="45"/>
  <c r="AC41" i="45"/>
  <c r="J107" i="45"/>
  <c r="P33" i="45"/>
  <c r="J180" i="45"/>
  <c r="T78" i="45"/>
  <c r="AL201" i="45"/>
  <c r="AF203" i="45"/>
  <c r="T95" i="45"/>
  <c r="AK156" i="45"/>
  <c r="Y33" i="45"/>
  <c r="AC127" i="45"/>
  <c r="Z33" i="45"/>
  <c r="AL74" i="45"/>
  <c r="AL135" i="45"/>
  <c r="G105" i="45"/>
  <c r="AF79" i="45"/>
  <c r="E29" i="45"/>
  <c r="E105" i="45"/>
  <c r="AL96" i="45"/>
  <c r="AH152" i="45"/>
  <c r="AF157" i="45"/>
  <c r="E202" i="45"/>
  <c r="S125" i="45"/>
  <c r="K178" i="45"/>
  <c r="J87" i="45"/>
  <c r="M156" i="45"/>
  <c r="V95" i="45"/>
  <c r="H134" i="45"/>
  <c r="Y154" i="45"/>
  <c r="P188" i="45"/>
  <c r="P135" i="45"/>
  <c r="V138" i="45"/>
  <c r="AI203" i="45"/>
  <c r="AI170" i="45"/>
  <c r="T186" i="45"/>
  <c r="AE191" i="45"/>
  <c r="AI59" i="45"/>
  <c r="Y168" i="45"/>
  <c r="H34" i="45"/>
  <c r="M168" i="45"/>
  <c r="S126" i="45"/>
  <c r="AF120" i="45"/>
  <c r="AI189" i="45"/>
  <c r="AK39" i="45"/>
  <c r="AH43" i="45"/>
  <c r="K98" i="45"/>
  <c r="AB90" i="45"/>
  <c r="AE145" i="45"/>
  <c r="AK21" i="45"/>
  <c r="AI115" i="45"/>
  <c r="J103" i="45"/>
  <c r="H205" i="45"/>
  <c r="K153" i="45"/>
  <c r="AK95" i="45"/>
  <c r="AF37" i="45"/>
  <c r="E77" i="45"/>
  <c r="AK105" i="45"/>
  <c r="H24" i="45"/>
  <c r="AH137" i="45"/>
  <c r="T185" i="45"/>
  <c r="AC152" i="45"/>
  <c r="Z118" i="45"/>
  <c r="AE115" i="45"/>
  <c r="M97" i="45"/>
  <c r="T104" i="45"/>
  <c r="V157" i="45"/>
  <c r="W135" i="45"/>
  <c r="K199" i="45"/>
  <c r="V16" i="45"/>
  <c r="N45" i="45"/>
  <c r="AI186" i="45"/>
  <c r="H32" i="45"/>
  <c r="AB132" i="45"/>
  <c r="B12" i="17"/>
  <c r="M46" i="45"/>
  <c r="B9" i="17"/>
  <c r="E137" i="45"/>
  <c r="K74" i="45"/>
  <c r="Y17" i="45"/>
  <c r="Z199" i="45"/>
  <c r="AF80" i="45"/>
  <c r="J137" i="45"/>
  <c r="H107" i="45"/>
  <c r="AE162" i="45"/>
  <c r="AB187" i="45"/>
  <c r="Z188" i="45"/>
  <c r="V105" i="45"/>
  <c r="J88" i="45"/>
  <c r="S167" i="45"/>
  <c r="H40" i="45"/>
  <c r="P119" i="45"/>
  <c r="V82" i="45"/>
  <c r="M16" i="45"/>
  <c r="V67" i="45"/>
  <c r="AK14" i="45"/>
  <c r="T134" i="45"/>
  <c r="K21" i="45"/>
  <c r="Y104" i="45"/>
  <c r="M78" i="45"/>
  <c r="AK33" i="45"/>
  <c r="T67" i="45"/>
  <c r="H143" i="45"/>
  <c r="N105" i="45"/>
  <c r="N43" i="45"/>
  <c r="T176" i="45"/>
  <c r="AK191" i="45"/>
  <c r="AC78" i="45"/>
  <c r="AH205" i="45"/>
  <c r="W26" i="45"/>
  <c r="Q205" i="45"/>
  <c r="AH151" i="45"/>
  <c r="V142" i="45"/>
  <c r="AI64" i="45"/>
  <c r="AB19" i="45"/>
  <c r="P19" i="45"/>
  <c r="AL117" i="45"/>
  <c r="AI157" i="45"/>
  <c r="K97" i="45"/>
  <c r="W147" i="45"/>
  <c r="S180" i="45"/>
  <c r="V169" i="45"/>
  <c r="V156" i="45"/>
  <c r="AF133" i="45"/>
  <c r="K40" i="45"/>
  <c r="AI103" i="45"/>
  <c r="T170" i="45"/>
  <c r="AE133" i="45"/>
  <c r="AF13" i="45"/>
  <c r="W117" i="45"/>
  <c r="W168" i="45"/>
  <c r="K116" i="45"/>
  <c r="K59" i="45"/>
  <c r="H97" i="45"/>
  <c r="V18" i="45"/>
  <c r="J66" i="45"/>
  <c r="E65" i="45"/>
  <c r="AC189" i="45"/>
  <c r="P97" i="45"/>
  <c r="V153" i="45"/>
  <c r="T18" i="45"/>
  <c r="N163" i="45"/>
  <c r="J9" i="45"/>
  <c r="H166" i="45"/>
  <c r="AB118" i="45"/>
  <c r="Y16" i="45"/>
  <c r="W126" i="45"/>
  <c r="AB32" i="45"/>
  <c r="Y29" i="45"/>
  <c r="W38" i="45"/>
  <c r="G19" i="45"/>
  <c r="AF118" i="45"/>
  <c r="Q187" i="45"/>
  <c r="P24" i="45"/>
  <c r="T164" i="45"/>
  <c r="K20" i="45"/>
  <c r="W46" i="45"/>
  <c r="AI44" i="45"/>
  <c r="AI75" i="45"/>
  <c r="T80" i="45"/>
  <c r="Z126" i="45"/>
  <c r="H20" i="45"/>
  <c r="AK190" i="45"/>
  <c r="AL200" i="45"/>
  <c r="AF137" i="45"/>
  <c r="T169" i="45"/>
  <c r="AL33" i="45"/>
  <c r="E40" i="45"/>
  <c r="AB161" i="45"/>
  <c r="AF178" i="45"/>
  <c r="AC76" i="45"/>
  <c r="Y36" i="45"/>
  <c r="W164" i="45"/>
  <c r="AF104" i="45"/>
  <c r="AC164" i="45"/>
  <c r="AC155" i="45"/>
  <c r="Q169" i="45"/>
  <c r="Q132" i="45"/>
  <c r="H96" i="45"/>
  <c r="AI205" i="45"/>
  <c r="E119" i="45"/>
  <c r="T178" i="45"/>
  <c r="K179" i="45"/>
  <c r="J168" i="45"/>
  <c r="AB186" i="45"/>
  <c r="AE154" i="45"/>
  <c r="H6" i="17"/>
  <c r="W96" i="45"/>
  <c r="AC81" i="45"/>
  <c r="G40" i="45"/>
  <c r="Z117" i="45"/>
  <c r="AB107" i="45"/>
  <c r="AF16" i="45"/>
  <c r="AH162" i="45"/>
  <c r="AE132" i="45"/>
  <c r="Z170" i="45"/>
  <c r="AI98" i="45"/>
  <c r="P75" i="45"/>
  <c r="K189" i="45"/>
  <c r="H88" i="45"/>
  <c r="J147" i="45"/>
  <c r="AL187" i="45"/>
  <c r="Q204" i="45"/>
  <c r="M178" i="45"/>
  <c r="AK162" i="45"/>
  <c r="Q106" i="45"/>
  <c r="AH119" i="45"/>
  <c r="AK79" i="45"/>
  <c r="G162" i="45"/>
  <c r="G164" i="45"/>
  <c r="AL161" i="45"/>
  <c r="Q155" i="45"/>
  <c r="V116" i="45"/>
  <c r="P186" i="45"/>
  <c r="AH134" i="45"/>
  <c r="AB15" i="45"/>
  <c r="J11" i="45"/>
  <c r="AC199" i="45"/>
  <c r="W187" i="45"/>
  <c r="P137" i="45"/>
  <c r="Y30" i="45"/>
  <c r="S43" i="45"/>
  <c r="G167" i="45"/>
  <c r="AI87" i="45"/>
  <c r="P166" i="45"/>
  <c r="AC175" i="45"/>
  <c r="AC89" i="45"/>
  <c r="H203" i="45"/>
  <c r="H161" i="45"/>
  <c r="AB157" i="45"/>
  <c r="K82" i="45"/>
  <c r="K88" i="45"/>
  <c r="AB185" i="45"/>
  <c r="N178" i="45"/>
  <c r="S22" i="45"/>
  <c r="S200" i="45"/>
  <c r="AF76" i="45"/>
  <c r="J162" i="45"/>
  <c r="V35" i="45"/>
  <c r="J17" i="45"/>
  <c r="AB34" i="45"/>
  <c r="AI45" i="45"/>
  <c r="S163" i="45"/>
  <c r="T155" i="45"/>
  <c r="T96" i="45"/>
  <c r="E75" i="45"/>
  <c r="AB189" i="45"/>
  <c r="P27" i="45"/>
  <c r="Z138" i="45"/>
  <c r="AK166" i="45"/>
  <c r="AH185" i="45"/>
  <c r="V178" i="45"/>
  <c r="Y133" i="45"/>
  <c r="S120" i="45"/>
  <c r="E138" i="45"/>
  <c r="T165" i="45"/>
  <c r="N25" i="45"/>
  <c r="T37" i="45"/>
  <c r="Z66" i="45"/>
  <c r="A11" i="17"/>
  <c r="E43" i="45"/>
  <c r="E9" i="45"/>
  <c r="AE34" i="45"/>
  <c r="M98" i="45"/>
  <c r="AL153" i="45"/>
  <c r="W169" i="45"/>
  <c r="W200" i="45"/>
  <c r="AF14" i="45"/>
  <c r="J138" i="45"/>
  <c r="S78" i="45"/>
  <c r="Q117" i="45"/>
  <c r="AL170" i="45"/>
  <c r="N17" i="45"/>
  <c r="H33" i="45"/>
  <c r="AE180" i="45"/>
  <c r="Y115" i="45"/>
  <c r="AC147" i="45"/>
  <c r="P46" i="45"/>
  <c r="N146" i="45"/>
  <c r="AI135" i="45"/>
  <c r="AL138" i="45"/>
  <c r="N29" i="45"/>
  <c r="K26" i="45"/>
  <c r="Y134" i="45"/>
  <c r="AE79" i="45"/>
  <c r="AL11" i="45"/>
  <c r="V145" i="45"/>
  <c r="H95" i="45"/>
  <c r="K34" i="45"/>
  <c r="AC165" i="45"/>
  <c r="AB16" i="45"/>
  <c r="G135" i="45"/>
  <c r="AH135" i="45"/>
  <c r="AB136" i="45"/>
  <c r="E10" i="45"/>
  <c r="M43" i="45"/>
  <c r="S178" i="45"/>
  <c r="G190" i="45"/>
  <c r="AF135" i="45"/>
  <c r="AF154" i="45"/>
  <c r="G176" i="45"/>
  <c r="T103" i="45"/>
  <c r="T45" i="45"/>
  <c r="G11" i="45"/>
  <c r="B13" i="17"/>
  <c r="AC34" i="45"/>
  <c r="Q14" i="45"/>
  <c r="K45" i="45"/>
  <c r="AK32" i="45"/>
  <c r="AI142" i="45"/>
  <c r="AI178" i="45"/>
  <c r="C8" i="17"/>
  <c r="AK26" i="45"/>
  <c r="H44" i="45"/>
  <c r="T34" i="45"/>
  <c r="AK63" i="45"/>
  <c r="Q10" i="45"/>
  <c r="AE126" i="45"/>
  <c r="AI199" i="45"/>
  <c r="AL88" i="45"/>
  <c r="G15" i="45"/>
  <c r="AK11" i="45"/>
  <c r="K30" i="45"/>
  <c r="M189" i="45"/>
  <c r="P89" i="45"/>
  <c r="E199" i="45"/>
  <c r="AK116" i="45"/>
  <c r="AL144" i="45"/>
  <c r="AL37" i="45"/>
  <c r="AI30" i="45"/>
  <c r="K64" i="45"/>
  <c r="V163" i="45"/>
  <c r="M107" i="45"/>
  <c r="Q189" i="45"/>
  <c r="H27" i="45"/>
  <c r="E88" i="45"/>
  <c r="AB166" i="45"/>
  <c r="G132" i="45"/>
  <c r="J170" i="45"/>
  <c r="AL145" i="45"/>
  <c r="K186" i="45"/>
  <c r="T191" i="45"/>
  <c r="AL107" i="45"/>
  <c r="V202" i="45"/>
  <c r="H17" i="45"/>
  <c r="AE22" i="45"/>
  <c r="E180" i="45"/>
  <c r="AE62" i="45"/>
  <c r="AE114" i="45"/>
  <c r="S18" i="45"/>
  <c r="AE11" i="45"/>
  <c r="N147" i="45"/>
  <c r="Q179" i="45"/>
  <c r="H136" i="45"/>
  <c r="N143" i="45"/>
  <c r="AB151" i="45"/>
  <c r="E13" i="45"/>
  <c r="V46" i="45"/>
  <c r="Z152" i="45"/>
  <c r="G103" i="45"/>
  <c r="AE117" i="45"/>
  <c r="AK185" i="45"/>
  <c r="AE60" i="45"/>
  <c r="M28" i="45"/>
  <c r="S46" i="45"/>
  <c r="H61" i="45"/>
  <c r="Z82" i="45"/>
  <c r="AE168" i="45"/>
  <c r="S97" i="45"/>
  <c r="P13" i="45"/>
  <c r="W17" i="45"/>
  <c r="E203" i="45"/>
  <c r="AB65" i="45"/>
  <c r="Z22" i="45"/>
  <c r="AK87" i="45"/>
  <c r="AL163" i="45"/>
  <c r="E44" i="45"/>
  <c r="J35" i="45"/>
  <c r="G133" i="45"/>
  <c r="AC16" i="45"/>
  <c r="AH157" i="45"/>
  <c r="K204" i="45"/>
  <c r="AE127" i="45"/>
  <c r="Y23" i="45"/>
  <c r="D8" i="17"/>
  <c r="G23" i="45"/>
  <c r="Y22" i="45"/>
  <c r="G59" i="45"/>
  <c r="E80" i="45"/>
  <c r="E190" i="45"/>
  <c r="P25" i="45"/>
  <c r="E168" i="45"/>
  <c r="AB28" i="45"/>
  <c r="B11" i="17"/>
  <c r="M164" i="45"/>
  <c r="Y138" i="45"/>
  <c r="E178" i="45"/>
  <c r="Z186" i="45"/>
  <c r="G115" i="45"/>
  <c r="AC180" i="45"/>
  <c r="S155" i="45"/>
  <c r="J185" i="45"/>
  <c r="Z17" i="45"/>
  <c r="K67" i="45"/>
  <c r="G119" i="45"/>
  <c r="AH179" i="45"/>
  <c r="V154" i="45"/>
  <c r="V203" i="45"/>
  <c r="V38" i="45"/>
  <c r="W42" i="45"/>
  <c r="Q39" i="45"/>
  <c r="J190" i="45"/>
  <c r="W119" i="45"/>
  <c r="E19" i="45"/>
  <c r="W134" i="45"/>
  <c r="AC163" i="45"/>
  <c r="P161" i="45"/>
  <c r="P175" i="45"/>
  <c r="AK151" i="45"/>
  <c r="S135" i="45"/>
  <c r="P153" i="45"/>
  <c r="M21" i="45"/>
  <c r="S170" i="45"/>
  <c r="G43" i="45"/>
  <c r="T13" i="45"/>
  <c r="J186" i="45"/>
  <c r="Q38" i="45"/>
  <c r="Y37" i="45"/>
  <c r="E97" i="45"/>
  <c r="AB58" i="45"/>
  <c r="E201" i="45"/>
  <c r="H138" i="45"/>
  <c r="N135" i="45"/>
  <c r="P11" i="45"/>
  <c r="J24" i="45"/>
  <c r="P98" i="45"/>
  <c r="K36" i="45"/>
  <c r="AI40" i="45"/>
  <c r="AF89" i="45"/>
  <c r="T40" i="45"/>
  <c r="M36" i="45"/>
  <c r="S19" i="45"/>
  <c r="AF24" i="45"/>
  <c r="AE199" i="45"/>
  <c r="Z107" i="45"/>
  <c r="AE58" i="45"/>
  <c r="E46" i="45"/>
  <c r="M203" i="45"/>
  <c r="N169" i="45"/>
  <c r="M138" i="45"/>
  <c r="G161" i="45"/>
  <c r="AH186" i="45"/>
  <c r="Y58" i="45"/>
  <c r="V88" i="45"/>
  <c r="G81" i="45"/>
  <c r="V135" i="45"/>
  <c r="W205" i="45"/>
  <c r="N152" i="45"/>
  <c r="K167" i="45"/>
  <c r="AK188" i="45"/>
  <c r="N60" i="45"/>
  <c r="W105" i="45"/>
  <c r="J45" i="45"/>
  <c r="Z155" i="45"/>
  <c r="K161" i="45"/>
  <c r="M165" i="45"/>
  <c r="M162" i="45"/>
  <c r="AI138" i="45"/>
  <c r="AF168" i="45"/>
  <c r="AF201" i="45"/>
  <c r="AL180" i="45"/>
  <c r="G118" i="45"/>
  <c r="Z10" i="45"/>
  <c r="W143" i="45"/>
  <c r="Y116" i="45"/>
  <c r="Y127" i="45"/>
  <c r="AC45" i="45"/>
  <c r="AE66" i="45"/>
  <c r="AB190" i="45"/>
  <c r="H162" i="45"/>
  <c r="Q165" i="45"/>
  <c r="AB191" i="45"/>
  <c r="N191" i="45"/>
  <c r="V44" i="45"/>
  <c r="AF186" i="45"/>
  <c r="AF40" i="45"/>
  <c r="M137" i="45"/>
  <c r="AE32" i="45"/>
  <c r="N27" i="45"/>
  <c r="Y38" i="45"/>
  <c r="AK10" i="45"/>
  <c r="J96" i="45"/>
  <c r="AH44" i="45"/>
  <c r="H87" i="45"/>
  <c r="H30" i="45"/>
  <c r="AC191" i="45"/>
  <c r="K151" i="45"/>
  <c r="E62" i="45"/>
  <c r="AI14" i="45"/>
  <c r="AC33" i="45"/>
  <c r="V168" i="45"/>
  <c r="P200" i="45"/>
  <c r="AH120" i="45"/>
  <c r="A7" i="17"/>
  <c r="G168" i="45"/>
  <c r="AK81" i="45"/>
  <c r="J200" i="45"/>
  <c r="AH145" i="45"/>
  <c r="N63" i="45"/>
  <c r="AL28" i="45"/>
  <c r="E76" i="45"/>
  <c r="AL136" i="45"/>
  <c r="K90" i="45"/>
  <c r="AI153" i="45"/>
  <c r="V143" i="45"/>
  <c r="H31" i="45"/>
  <c r="AC35" i="45"/>
  <c r="AB170" i="45"/>
  <c r="AK145" i="45"/>
  <c r="N161" i="45"/>
  <c r="AH201" i="45"/>
  <c r="Z20" i="45"/>
  <c r="AF175" i="45"/>
  <c r="K163" i="45"/>
  <c r="M136" i="45"/>
  <c r="AE186" i="45"/>
  <c r="N120" i="45"/>
  <c r="AH89" i="45"/>
  <c r="K137" i="45"/>
  <c r="H147" i="45"/>
  <c r="AH81" i="45"/>
  <c r="J187" i="45"/>
  <c r="N19" i="45"/>
  <c r="AH203" i="45"/>
  <c r="H104" i="45"/>
  <c r="M190" i="45"/>
  <c r="S132" i="45"/>
  <c r="H117" i="45"/>
  <c r="AI125" i="45"/>
  <c r="AF96" i="45"/>
  <c r="V60" i="45"/>
  <c r="AH98" i="45"/>
  <c r="T97" i="45"/>
  <c r="W179" i="45"/>
  <c r="AE39" i="45"/>
  <c r="K15" i="45"/>
  <c r="W89" i="45"/>
  <c r="AF31" i="45"/>
  <c r="Q105" i="45"/>
  <c r="AE26" i="45"/>
  <c r="G189" i="45"/>
  <c r="K157" i="45"/>
  <c r="E153" i="45"/>
  <c r="V205" i="45"/>
  <c r="V147" i="45"/>
  <c r="S203" i="45"/>
  <c r="W115" i="45"/>
  <c r="AC120" i="45"/>
  <c r="AF185" i="45"/>
  <c r="AF95" i="45"/>
  <c r="Y12" i="45"/>
  <c r="AE30" i="45"/>
  <c r="M29" i="45"/>
  <c r="AI26" i="45"/>
  <c r="Z167" i="45"/>
  <c r="E74" i="45"/>
  <c r="T126" i="45"/>
  <c r="N119" i="45"/>
  <c r="Z153" i="45"/>
  <c r="AF180" i="45"/>
  <c r="M95" i="45"/>
  <c r="N33" i="45"/>
  <c r="Z96" i="45"/>
  <c r="AF15" i="45"/>
  <c r="AK75" i="45"/>
  <c r="AC119" i="45"/>
  <c r="J28" i="45"/>
  <c r="Y106" i="45"/>
  <c r="S205" i="45"/>
  <c r="AK117" i="45"/>
  <c r="V185" i="45"/>
  <c r="N144" i="45"/>
  <c r="P77" i="45"/>
  <c r="AH95" i="45"/>
  <c r="H200" i="45"/>
  <c r="H120" i="45"/>
  <c r="M170" i="45"/>
  <c r="Q62" i="45"/>
  <c r="AI177" i="45"/>
  <c r="W136" i="45"/>
  <c r="M205" i="45"/>
  <c r="Z76" i="45"/>
  <c r="P116" i="45"/>
  <c r="K17" i="45"/>
  <c r="T137" i="45"/>
  <c r="J155" i="45"/>
  <c r="Y78" i="45"/>
  <c r="AE37" i="45"/>
  <c r="P187" i="45"/>
  <c r="T201" i="45"/>
  <c r="G185" i="45"/>
  <c r="AB45" i="45"/>
  <c r="AK186" i="45"/>
  <c r="H165" i="45"/>
  <c r="Y180" i="45"/>
  <c r="AC166" i="45"/>
  <c r="AL31" i="45"/>
  <c r="V36" i="45"/>
  <c r="Q152" i="45"/>
  <c r="P199" i="45"/>
  <c r="E179" i="45"/>
  <c r="H179" i="45"/>
  <c r="B10" i="17"/>
  <c r="N126" i="45"/>
  <c r="W16" i="45"/>
  <c r="AI133" i="45"/>
  <c r="AB116" i="45"/>
  <c r="AL137" i="45"/>
  <c r="AK76" i="45"/>
  <c r="T167" i="45"/>
  <c r="AC153" i="45"/>
  <c r="Z191" i="45"/>
  <c r="AE177" i="45"/>
  <c r="AH178" i="45"/>
  <c r="H135" i="45"/>
  <c r="N106" i="45"/>
  <c r="P168" i="45"/>
  <c r="Q96" i="45"/>
  <c r="E66" i="45"/>
  <c r="P66" i="45"/>
  <c r="AI106" i="45"/>
  <c r="J154" i="45"/>
  <c r="AE188" i="45"/>
  <c r="P155" i="45"/>
  <c r="V200" i="45"/>
  <c r="P106" i="45"/>
  <c r="AE137" i="45"/>
  <c r="E154" i="45"/>
  <c r="AK98" i="45"/>
  <c r="E155" i="45"/>
  <c r="J22" i="45"/>
  <c r="AH35" i="45"/>
  <c r="Y21" i="45"/>
  <c r="AE90" i="45"/>
  <c r="A9" i="17"/>
  <c r="AB76" i="45"/>
  <c r="AB153" i="45"/>
  <c r="Q104" i="45"/>
  <c r="V176" i="45"/>
  <c r="P165" i="45"/>
  <c r="E95" i="45"/>
  <c r="AL114" i="45"/>
  <c r="H185" i="45"/>
  <c r="AH64" i="45"/>
  <c r="P162" i="45"/>
  <c r="Y146" i="45"/>
  <c r="K133" i="45"/>
  <c r="AC151" i="45"/>
  <c r="AK199" i="45"/>
  <c r="AH79" i="45"/>
  <c r="H126" i="45"/>
  <c r="J90" i="45"/>
  <c r="AL155" i="45"/>
  <c r="AL134" i="45"/>
  <c r="K203" i="45"/>
  <c r="AL177" i="45"/>
  <c r="W156" i="45"/>
  <c r="AC97" i="45"/>
  <c r="T163" i="45"/>
  <c r="AI82" i="45"/>
  <c r="H144" i="45"/>
  <c r="K146" i="45"/>
  <c r="AB29" i="45"/>
  <c r="AH33" i="45"/>
  <c r="P190" i="45"/>
  <c r="Z79" i="45"/>
  <c r="H23" i="45"/>
  <c r="Q107" i="45"/>
  <c r="W201" i="45"/>
  <c r="S185" i="45"/>
  <c r="E204" i="45"/>
  <c r="K147" i="45"/>
  <c r="M15" i="45"/>
  <c r="AL188" i="45"/>
  <c r="G152" i="45"/>
  <c r="S15" i="45"/>
  <c r="AI78" i="45"/>
  <c r="P61" i="45"/>
  <c r="E35" i="45"/>
  <c r="AL24" i="45"/>
  <c r="E176" i="45"/>
  <c r="Q87" i="45"/>
  <c r="T133" i="45"/>
  <c r="AB80" i="45"/>
  <c r="M147" i="45"/>
  <c r="G76" i="45"/>
  <c r="G169" i="45"/>
  <c r="Q180" i="45"/>
  <c r="G137" i="45"/>
  <c r="S90" i="45"/>
  <c r="M166" i="45"/>
  <c r="E38" i="45"/>
  <c r="Z190" i="45"/>
  <c r="S105" i="45"/>
  <c r="AH142" i="45"/>
  <c r="Z120" i="45"/>
  <c r="P202" i="45"/>
  <c r="N74" i="45"/>
  <c r="AB120" i="45"/>
  <c r="V79" i="45"/>
  <c r="Y135" i="45"/>
  <c r="K105" i="45"/>
  <c r="N190" i="45"/>
  <c r="N187" i="45"/>
  <c r="T120" i="45"/>
  <c r="Z132" i="45"/>
  <c r="M115" i="45"/>
  <c r="AI114" i="45"/>
  <c r="E16" i="45"/>
  <c r="T98" i="45"/>
  <c r="AK180" i="45"/>
  <c r="P157" i="45"/>
  <c r="M204" i="45"/>
  <c r="Z201" i="45"/>
  <c r="G78" i="45"/>
  <c r="M119" i="45"/>
  <c r="Z60" i="45"/>
  <c r="G153" i="45"/>
  <c r="V166" i="45"/>
  <c r="G36" i="45"/>
  <c r="G60" i="45"/>
  <c r="AI96" i="45"/>
  <c r="K87" i="45"/>
  <c r="K142" i="45"/>
  <c r="AC44" i="45"/>
  <c r="Z169" i="45"/>
  <c r="V117" i="45"/>
  <c r="AF77" i="45"/>
  <c r="K175" i="45"/>
  <c r="W142" i="45"/>
  <c r="G143" i="45"/>
  <c r="AC107" i="45"/>
  <c r="Z67" i="45"/>
  <c r="J203" i="45"/>
  <c r="T202" i="45"/>
  <c r="AE165" i="45"/>
  <c r="Q176" i="45"/>
  <c r="AB146" i="45"/>
  <c r="N188" i="45"/>
  <c r="Z162" i="45"/>
  <c r="Z103" i="45"/>
  <c r="AC62" i="45"/>
  <c r="K190" i="45"/>
  <c r="W178" i="45"/>
  <c r="AK142" i="45"/>
  <c r="AH87" i="45"/>
  <c r="J133" i="45"/>
  <c r="AH17" i="45"/>
  <c r="AH190" i="45"/>
  <c r="AC137" i="45"/>
  <c r="AH146" i="45"/>
  <c r="AL39" i="45"/>
  <c r="P177" i="45"/>
  <c r="AH15" i="45"/>
  <c r="AI144" i="45"/>
  <c r="AK118" i="45"/>
  <c r="Y90" i="45"/>
  <c r="M79" i="45"/>
  <c r="Z177" i="45"/>
  <c r="V204" i="45"/>
  <c r="C11" i="17"/>
  <c r="AB176" i="45"/>
  <c r="N24" i="45"/>
  <c r="S152" i="45"/>
  <c r="AK168" i="45"/>
  <c r="S168" i="45"/>
  <c r="AC187" i="45"/>
  <c r="N95" i="45"/>
  <c r="AC138" i="45"/>
  <c r="AI188" i="45"/>
  <c r="M167" i="45"/>
  <c r="P163" i="45"/>
  <c r="AE29" i="45"/>
  <c r="P82" i="45"/>
  <c r="W177" i="45"/>
  <c r="AF189" i="45"/>
  <c r="AL175" i="45"/>
  <c r="AF143" i="45"/>
  <c r="S82" i="45"/>
  <c r="Z202" i="45"/>
  <c r="W81" i="45"/>
  <c r="M62" i="45"/>
  <c r="N156" i="45"/>
  <c r="N89" i="45"/>
  <c r="AE138" i="45"/>
  <c r="AI168" i="45"/>
  <c r="H5" i="17"/>
  <c r="Q116" i="45"/>
  <c r="N151" i="45"/>
  <c r="AK97" i="45"/>
  <c r="J113" i="45"/>
  <c r="V119" i="45"/>
  <c r="AB201" i="45"/>
  <c r="AB115" i="45"/>
  <c r="AF106" i="45"/>
  <c r="AE144" i="45"/>
  <c r="Q154" i="45"/>
  <c r="J78" i="45"/>
  <c r="J126" i="45"/>
  <c r="AE178" i="45"/>
  <c r="T190" i="45"/>
  <c r="N67" i="45"/>
  <c r="N18" i="45"/>
  <c r="N175" i="45"/>
  <c r="Q30" i="45"/>
  <c r="M75" i="45"/>
  <c r="G187" i="45"/>
  <c r="AF134" i="45"/>
  <c r="AE64" i="45"/>
  <c r="AI176" i="45"/>
  <c r="AK88" i="45"/>
  <c r="AH21" i="45"/>
  <c r="Z21" i="45"/>
  <c r="M106" i="45"/>
  <c r="V162" i="45"/>
  <c r="K103" i="45"/>
  <c r="N127" i="45"/>
  <c r="AB165" i="45"/>
  <c r="G64" i="45"/>
  <c r="Z97" i="45"/>
  <c r="AC136" i="45"/>
  <c r="N62" i="45"/>
  <c r="V96" i="45"/>
  <c r="K75" i="45"/>
  <c r="AH188" i="45"/>
  <c r="AE78" i="45"/>
  <c r="P118" i="45"/>
  <c r="N201" i="45"/>
  <c r="W204" i="45"/>
  <c r="T62" i="45"/>
  <c r="P127" i="45"/>
  <c r="Y202" i="45"/>
  <c r="K80" i="45"/>
  <c r="E33" i="45"/>
  <c r="N13" i="45"/>
  <c r="Y201" i="45"/>
  <c r="V77" i="45"/>
  <c r="S62" i="45"/>
  <c r="Q188" i="45"/>
  <c r="AE88" i="45"/>
  <c r="AL202" i="45"/>
  <c r="Q103" i="45"/>
  <c r="N44" i="45"/>
  <c r="Q31" i="45"/>
  <c r="AI190" i="45"/>
  <c r="AC177" i="45"/>
  <c r="E191" i="45"/>
  <c r="W31" i="45"/>
  <c r="AK201" i="45"/>
  <c r="AH153" i="45"/>
  <c r="Y179" i="45"/>
  <c r="Q65" i="45"/>
  <c r="J175" i="45"/>
  <c r="H29" i="45"/>
  <c r="S30" i="45"/>
  <c r="AB167" i="45"/>
  <c r="E115" i="45"/>
  <c r="AE142" i="45"/>
  <c r="AK137" i="45"/>
  <c r="AE97" i="45"/>
  <c r="S134" i="45"/>
  <c r="N162" i="45"/>
  <c r="T199" i="45"/>
  <c r="H132" i="45"/>
  <c r="AH161" i="45"/>
  <c r="AF62" i="45"/>
  <c r="T119" i="45"/>
  <c r="AK13" i="45"/>
  <c r="Z133" i="45"/>
  <c r="AF21" i="45"/>
  <c r="M153" i="45"/>
  <c r="W22" i="45"/>
  <c r="V10" i="45"/>
  <c r="N186" i="45"/>
  <c r="P154" i="45"/>
  <c r="Q170" i="45"/>
  <c r="E126" i="45"/>
  <c r="AF63" i="45"/>
  <c r="T154" i="45"/>
  <c r="AH168" i="45"/>
  <c r="N90" i="45"/>
  <c r="K170" i="45"/>
  <c r="AF103" i="45"/>
  <c r="AB156" i="45"/>
  <c r="W103" i="45"/>
  <c r="K61" i="45"/>
  <c r="P20" i="45"/>
  <c r="AB63" i="45"/>
  <c r="AC105" i="45"/>
  <c r="S98" i="45"/>
  <c r="S41" i="45"/>
  <c r="AC143" i="45"/>
  <c r="K202" i="45"/>
  <c r="AH165" i="45"/>
  <c r="Y157" i="45"/>
  <c r="AF136" i="45"/>
  <c r="T153" i="45"/>
  <c r="Z40" i="45"/>
  <c r="AF38" i="45"/>
  <c r="G45" i="45"/>
  <c r="G186" i="45"/>
  <c r="AC106" i="45"/>
  <c r="M45" i="45"/>
  <c r="AH176" i="45"/>
  <c r="T156" i="45"/>
  <c r="W157" i="45"/>
  <c r="G188" i="45"/>
  <c r="P164" i="45"/>
  <c r="P156" i="45"/>
  <c r="M186" i="45"/>
  <c r="P29" i="45"/>
  <c r="AF179" i="45"/>
  <c r="W98" i="45"/>
  <c r="AK133" i="45"/>
  <c r="T35" i="45"/>
  <c r="K115" i="45"/>
  <c r="H10" i="45"/>
  <c r="AH16" i="45"/>
  <c r="T180" i="45"/>
  <c r="Y200" i="45"/>
  <c r="AI165" i="45"/>
  <c r="J115" i="45"/>
  <c r="V155" i="45"/>
  <c r="K126" i="45"/>
  <c r="V191" i="45"/>
  <c r="AL103" i="45"/>
  <c r="AE18" i="45"/>
  <c r="V103" i="45"/>
  <c r="Z156" i="45"/>
  <c r="AF20" i="45"/>
  <c r="W161" i="45"/>
  <c r="S137" i="45"/>
  <c r="N199" i="45"/>
  <c r="Q90" i="45"/>
  <c r="Z9" i="45"/>
  <c r="V115" i="45"/>
  <c r="Y107" i="45"/>
  <c r="D6" i="17"/>
  <c r="T25" i="45"/>
  <c r="V175" i="45"/>
  <c r="H89" i="45"/>
  <c r="AH20" i="45"/>
  <c r="W167" i="45"/>
  <c r="H151" i="45"/>
  <c r="AH42" i="45"/>
  <c r="Z178" i="45"/>
  <c r="W203" i="45"/>
  <c r="AL190" i="45"/>
  <c r="E22" i="45"/>
  <c r="G95" i="45"/>
  <c r="H82" i="45"/>
  <c r="T125" i="45"/>
  <c r="AI180" i="45"/>
  <c r="K162" i="45"/>
  <c r="AC117" i="45"/>
  <c r="M27" i="45"/>
  <c r="AE135" i="45"/>
  <c r="AF177" i="45"/>
  <c r="T161" i="45"/>
  <c r="T145" i="45"/>
  <c r="AB125" i="45"/>
  <c r="AB113" i="45"/>
  <c r="M126" i="45"/>
  <c r="AL203" i="45"/>
  <c r="J61" i="45"/>
  <c r="N168" i="45"/>
  <c r="AL147" i="45"/>
  <c r="W191" i="45"/>
  <c r="E189" i="45"/>
  <c r="T177" i="45"/>
  <c r="K127" i="45"/>
  <c r="T90" i="45"/>
  <c r="V187" i="45"/>
  <c r="AL118" i="45"/>
  <c r="AL176" i="45"/>
  <c r="AH202" i="45"/>
  <c r="S74" i="45"/>
  <c r="AI31" i="45"/>
  <c r="Y79" i="45"/>
  <c r="M89" i="45"/>
  <c r="AC162" i="45"/>
  <c r="AB79" i="45"/>
  <c r="P203" i="45"/>
  <c r="AC24" i="45"/>
  <c r="Q25" i="45"/>
  <c r="Y189" i="45"/>
  <c r="T117" i="45"/>
  <c r="AH169" i="45"/>
  <c r="AH170" i="45"/>
  <c r="AE40" i="45"/>
  <c r="AB205" i="45"/>
  <c r="AF165" i="45"/>
  <c r="T175" i="45"/>
  <c r="S144" i="45"/>
  <c r="Q21" i="45"/>
  <c r="Y15" i="45"/>
  <c r="S64" i="45"/>
  <c r="S106" i="45"/>
  <c r="T64" i="45"/>
  <c r="AB162" i="45"/>
  <c r="Q137" i="45"/>
  <c r="V201" i="45"/>
  <c r="V167" i="45"/>
  <c r="N104" i="45"/>
  <c r="AL126" i="45"/>
  <c r="Z145" i="45"/>
  <c r="Z39" i="45"/>
  <c r="P113" i="45"/>
  <c r="S10" i="45"/>
  <c r="W137" i="45"/>
  <c r="Y176" i="45"/>
  <c r="G66" i="45"/>
  <c r="AB175" i="45"/>
  <c r="AE179" i="45"/>
  <c r="E147" i="45"/>
  <c r="G204" i="45"/>
  <c r="K114" i="45"/>
  <c r="S116" i="45"/>
  <c r="AK114" i="45"/>
  <c r="Z104" i="45"/>
  <c r="AI46" i="45"/>
  <c r="W104" i="45"/>
  <c r="AI200" i="45"/>
  <c r="T28" i="45"/>
  <c r="AH200" i="45"/>
  <c r="AH132" i="45"/>
  <c r="AE163" i="45"/>
  <c r="G62" i="45"/>
  <c r="J125" i="45"/>
  <c r="B8" i="17"/>
  <c r="N46" i="45"/>
  <c r="AL13" i="45"/>
  <c r="Q113" i="45"/>
  <c r="Y59" i="45"/>
  <c r="E79" i="45"/>
  <c r="H66" i="45"/>
  <c r="AE28" i="45"/>
  <c r="J144" i="45"/>
  <c r="Q58" i="45"/>
  <c r="AI187" i="45"/>
  <c r="S191" i="45"/>
  <c r="AF64" i="45"/>
  <c r="S65" i="45"/>
  <c r="J15" i="45"/>
  <c r="J179" i="45"/>
  <c r="AI58" i="45"/>
  <c r="K39" i="45"/>
  <c r="J146" i="45"/>
  <c r="Q12" i="45"/>
  <c r="H178" i="45"/>
  <c r="Y147" i="45"/>
  <c r="P34" i="45"/>
  <c r="E113" i="45"/>
  <c r="M105" i="45"/>
  <c r="AL98" i="45"/>
  <c r="E127" i="45"/>
  <c r="AL186" i="45"/>
  <c r="AB152" i="45"/>
  <c r="V161" i="45"/>
  <c r="V151" i="45"/>
  <c r="AE143" i="45"/>
  <c r="N97" i="45"/>
  <c r="S60" i="45"/>
  <c r="AL79" i="45"/>
  <c r="AC11" i="45"/>
  <c r="AL105" i="45"/>
  <c r="Q201" i="45"/>
  <c r="Q32" i="45"/>
  <c r="AF145" i="45"/>
  <c r="K165" i="45"/>
  <c r="AE185" i="45"/>
  <c r="Z116" i="45"/>
  <c r="AI146" i="45"/>
  <c r="N64" i="45"/>
  <c r="N138" i="45"/>
  <c r="J135" i="45"/>
  <c r="W25" i="45"/>
  <c r="AC204" i="45"/>
  <c r="AL199" i="45"/>
  <c r="W153" i="45"/>
  <c r="H113" i="45"/>
  <c r="AE203" i="45"/>
  <c r="AI147" i="45"/>
  <c r="AF155" i="45"/>
  <c r="S42" i="45"/>
  <c r="AF32" i="45"/>
  <c r="AB202" i="45"/>
  <c r="M185" i="45"/>
  <c r="AC61" i="45"/>
  <c r="AK36" i="45"/>
  <c r="V189" i="45"/>
  <c r="V132" i="45"/>
  <c r="Z63" i="45"/>
  <c r="AH147" i="45"/>
  <c r="AL97" i="45"/>
  <c r="K10" i="45"/>
  <c r="AC66" i="45"/>
  <c r="E27" i="45"/>
  <c r="AL62" i="45"/>
  <c r="P132" i="45"/>
  <c r="AE105" i="45"/>
  <c r="AL65" i="45"/>
  <c r="K77" i="45"/>
  <c r="E162" i="45"/>
  <c r="T204" i="45"/>
  <c r="G136" i="45"/>
  <c r="G127" i="45"/>
  <c r="H189" i="45"/>
  <c r="AH164" i="45"/>
  <c r="H156" i="45"/>
  <c r="Q98" i="45"/>
  <c r="AE120" i="45"/>
  <c r="Q167" i="45"/>
  <c r="S75" i="45"/>
  <c r="T168" i="45"/>
  <c r="W28" i="45"/>
  <c r="V133" i="45"/>
  <c r="N153" i="45"/>
  <c r="AE153" i="45"/>
  <c r="M113" i="45"/>
  <c r="Y65" i="45"/>
  <c r="AB199" i="45"/>
  <c r="V180" i="45"/>
  <c r="W88" i="45"/>
  <c r="K27" i="45"/>
  <c r="AE156" i="45"/>
  <c r="H106" i="45"/>
  <c r="S202" i="45"/>
  <c r="P63" i="45"/>
  <c r="AC40" i="45"/>
  <c r="AC161" i="45"/>
  <c r="AI145" i="45"/>
  <c r="K32" i="45"/>
  <c r="T63" i="45"/>
  <c r="T58" i="45"/>
  <c r="AL165" i="45"/>
  <c r="H133" i="45"/>
  <c r="AL87" i="45"/>
  <c r="M58" i="45"/>
  <c r="M187" i="45"/>
  <c r="H191" i="45"/>
  <c r="AB204" i="45"/>
  <c r="AI136" i="45"/>
  <c r="Y34" i="45"/>
  <c r="K169" i="45"/>
  <c r="S142" i="45"/>
  <c r="AH66" i="45"/>
  <c r="T127" i="45"/>
  <c r="AL19" i="45"/>
  <c r="AL178" i="45"/>
  <c r="AH106" i="45"/>
  <c r="M191" i="45"/>
  <c r="V30" i="45"/>
  <c r="M201" i="45"/>
  <c r="Z80" i="45"/>
  <c r="AH189" i="45"/>
  <c r="AH155" i="45"/>
  <c r="V134" i="45"/>
  <c r="Y118" i="45"/>
  <c r="AH199" i="45"/>
  <c r="AF34" i="45"/>
  <c r="Q66" i="45"/>
  <c r="V113" i="45"/>
  <c r="AB95" i="45"/>
  <c r="Z164" i="45"/>
  <c r="Y32" i="45"/>
  <c r="AE157" i="45"/>
  <c r="V125" i="45"/>
  <c r="AH19" i="45"/>
  <c r="AI154" i="45"/>
  <c r="V97" i="45"/>
  <c r="K188" i="45"/>
  <c r="V33" i="45"/>
  <c r="H119" i="45"/>
  <c r="M44" i="45"/>
  <c r="AE136" i="45"/>
  <c r="E90" i="45"/>
  <c r="AF147" i="45"/>
  <c r="W114" i="45"/>
  <c r="AI175" i="45"/>
  <c r="AH156" i="45"/>
  <c r="AB87" i="45"/>
  <c r="AC176" i="45"/>
  <c r="P126" i="45"/>
  <c r="P189" i="45"/>
  <c r="AB21" i="45"/>
  <c r="AI20" i="45"/>
  <c r="J166" i="45"/>
  <c r="N59" i="45"/>
  <c r="K78" i="45"/>
  <c r="Z200" i="45"/>
  <c r="Y204" i="45"/>
  <c r="Q163" i="45"/>
  <c r="Y203" i="45"/>
  <c r="G34" i="45"/>
  <c r="N154" i="45"/>
  <c r="AK177" i="45"/>
  <c r="K125" i="45"/>
  <c r="T189" i="45"/>
  <c r="Y87" i="45"/>
  <c r="AL164" i="45"/>
  <c r="Y188" i="45"/>
  <c r="AL77" i="45"/>
  <c r="AL64" i="45"/>
  <c r="Y45" i="45"/>
  <c r="AK153" i="45"/>
  <c r="AE167" i="45"/>
  <c r="Y113" i="45"/>
  <c r="N164" i="45"/>
  <c r="Z125" i="45"/>
  <c r="P170" i="45"/>
  <c r="Z136" i="45"/>
  <c r="P117" i="45"/>
  <c r="K177" i="45"/>
  <c r="M67" i="45"/>
  <c r="M19" i="45"/>
  <c r="AH41" i="45"/>
  <c r="AC144" i="45"/>
  <c r="K132" i="45"/>
  <c r="AB200" i="45"/>
  <c r="AC188" i="45"/>
  <c r="G151" i="45"/>
  <c r="AK61" i="45"/>
  <c r="Z95" i="45"/>
  <c r="Y161" i="45"/>
  <c r="J163" i="45"/>
  <c r="N42" i="45"/>
  <c r="AL59" i="45"/>
  <c r="AF82" i="45"/>
  <c r="V164" i="45"/>
  <c r="J16" i="45"/>
  <c r="H190" i="45"/>
  <c r="N177" i="45"/>
  <c r="V66" i="45"/>
  <c r="AB82" i="45"/>
  <c r="Y82" i="45"/>
  <c r="G203" i="45"/>
  <c r="J38" i="45"/>
  <c r="S36" i="45"/>
  <c r="AH125" i="45"/>
  <c r="W175" i="45"/>
  <c r="N167" i="45"/>
  <c r="AK189" i="45"/>
  <c r="N203" i="45"/>
  <c r="AB138" i="45"/>
  <c r="K200" i="45"/>
  <c r="J75" i="45"/>
  <c r="AH103" i="45"/>
  <c r="AB60" i="45"/>
  <c r="AH61" i="45"/>
  <c r="K29" i="45"/>
  <c r="G88" i="45"/>
  <c r="AI156" i="45"/>
  <c r="AK46" i="45"/>
  <c r="AK200" i="45"/>
  <c r="Q164" i="45"/>
  <c r="J117" i="45"/>
  <c r="J161" i="45"/>
  <c r="AI105" i="45"/>
  <c r="E87" i="45"/>
  <c r="AH204" i="45"/>
  <c r="V136" i="45"/>
  <c r="K119" i="45"/>
  <c r="E163" i="45"/>
  <c r="Q200" i="45"/>
  <c r="E200" i="45"/>
  <c r="AI155" i="45"/>
  <c r="H43" i="45"/>
  <c r="E165" i="45"/>
  <c r="AH144" i="45"/>
  <c r="AI27" i="45"/>
  <c r="K166" i="45"/>
  <c r="N65" i="45"/>
  <c r="AH115" i="45"/>
  <c r="N145" i="45"/>
  <c r="J118" i="45"/>
  <c r="AC64" i="45"/>
  <c r="AB78" i="45"/>
  <c r="Y114" i="45"/>
  <c r="N134" i="45"/>
  <c r="AH138" i="45"/>
  <c r="M157" i="45"/>
  <c r="W165" i="45"/>
  <c r="M169" i="45"/>
  <c r="Q114" i="45"/>
  <c r="J77" i="45"/>
  <c r="P21" i="45"/>
  <c r="Z31" i="45"/>
  <c r="K113" i="45"/>
  <c r="AB42" i="45"/>
  <c r="K11" i="45"/>
  <c r="G29" i="45"/>
  <c r="Z161" i="45"/>
  <c r="E125" i="45"/>
  <c r="AF19" i="45"/>
  <c r="N170" i="45"/>
  <c r="AF200" i="45"/>
  <c r="AC200" i="45"/>
  <c r="AC170" i="45"/>
  <c r="P205" i="45"/>
  <c r="Y80" i="45"/>
  <c r="W36" i="45"/>
  <c r="M114" i="45"/>
  <c r="Y95" i="45"/>
  <c r="AI66" i="45"/>
  <c r="AF88" i="45"/>
  <c r="E107" i="45"/>
  <c r="Y205" i="45"/>
  <c r="AE25" i="45"/>
  <c r="AK204" i="45"/>
  <c r="M135" i="45"/>
  <c r="M77" i="45"/>
  <c r="N114" i="45"/>
  <c r="AE23" i="45"/>
  <c r="AI143" i="45"/>
  <c r="AB135" i="45"/>
  <c r="V81" i="45"/>
  <c r="S164" i="45"/>
  <c r="G177" i="45"/>
  <c r="M32" i="45"/>
  <c r="M118" i="45"/>
  <c r="K62" i="45"/>
  <c r="AC75" i="45"/>
  <c r="J97" i="45"/>
  <c r="K138" i="45"/>
  <c r="J189" i="45"/>
  <c r="AL26" i="45"/>
  <c r="W162" i="45"/>
  <c r="G58" i="45"/>
  <c r="W78" i="45"/>
  <c r="G199" i="45"/>
  <c r="AE152" i="45"/>
  <c r="Z74" i="45"/>
  <c r="AE146" i="45"/>
  <c r="G44" i="45"/>
  <c r="Q153" i="45"/>
  <c r="S136" i="45"/>
  <c r="S143" i="45"/>
  <c r="W146" i="45"/>
  <c r="W155" i="45"/>
  <c r="H46" i="45"/>
  <c r="AC9" i="45"/>
  <c r="M117" i="45"/>
  <c r="G166" i="45"/>
  <c r="J169" i="45"/>
  <c r="M161" i="45"/>
  <c r="T61" i="45"/>
  <c r="M202" i="45"/>
  <c r="G96" i="45"/>
  <c r="Z65" i="45"/>
  <c r="Z24" i="45"/>
  <c r="AK175" i="45"/>
  <c r="AB163" i="45"/>
  <c r="AB137" i="45"/>
  <c r="Y162" i="45"/>
  <c r="P133" i="45"/>
  <c r="AH143" i="45"/>
  <c r="AF61" i="45"/>
  <c r="J143" i="45"/>
  <c r="G10" i="17"/>
  <c r="W190" i="45"/>
  <c r="H167" i="45"/>
  <c r="K134" i="45"/>
  <c r="AH127" i="45"/>
  <c r="AF74" i="45"/>
  <c r="Y25" i="45"/>
  <c r="AC156" i="45"/>
  <c r="AC25" i="45"/>
  <c r="S154" i="45"/>
  <c r="H204" i="45"/>
  <c r="AI163" i="45"/>
  <c r="H145" i="45"/>
  <c r="AE12" i="45"/>
  <c r="J205" i="45"/>
  <c r="W186" i="45"/>
  <c r="AE95" i="45"/>
  <c r="Q40" i="45"/>
  <c r="E152" i="45"/>
  <c r="AC67" i="45"/>
  <c r="N31" i="45"/>
  <c r="Q203" i="45"/>
  <c r="N202" i="45"/>
  <c r="G165" i="45"/>
  <c r="H180" i="45"/>
  <c r="Q157" i="45"/>
  <c r="T200" i="45"/>
  <c r="Y199" i="45"/>
  <c r="E205" i="45"/>
  <c r="M188" i="45"/>
  <c r="P169" i="45"/>
  <c r="AC125" i="45"/>
  <c r="J119" i="45"/>
  <c r="AI89" i="45"/>
  <c r="AF90" i="45"/>
  <c r="AE31" i="45"/>
  <c r="N66" i="45"/>
  <c r="Z176" i="45"/>
  <c r="AL14" i="45"/>
  <c r="K19" i="45"/>
  <c r="W13" i="45"/>
  <c r="AB66" i="45"/>
  <c r="T76" i="45"/>
  <c r="AE107" i="45"/>
  <c r="S189" i="45"/>
  <c r="E114" i="45"/>
  <c r="M176" i="45"/>
  <c r="Z166" i="45"/>
  <c r="K201" i="45"/>
  <c r="J80" i="45"/>
  <c r="W97" i="45"/>
  <c r="N155" i="45"/>
  <c r="T147" i="45"/>
  <c r="AF190" i="45"/>
  <c r="J76" i="45"/>
  <c r="P96" i="45"/>
  <c r="AF113" i="45"/>
  <c r="AE38" i="45"/>
  <c r="AB127" i="45"/>
  <c r="AH32" i="45"/>
  <c r="N118" i="45"/>
  <c r="J191" i="45"/>
  <c r="H60" i="45"/>
  <c r="AE15" i="45"/>
  <c r="AI90" i="45"/>
  <c r="AF11" i="45"/>
  <c r="M155" i="45"/>
  <c r="S175" i="45"/>
  <c r="M82" i="45"/>
  <c r="AH166" i="45"/>
  <c r="AH187" i="45"/>
  <c r="P176" i="45"/>
  <c r="N185" i="45"/>
  <c r="AE151" i="45"/>
  <c r="T81" i="45"/>
  <c r="Q120" i="45"/>
  <c r="T87" i="45"/>
  <c r="S147" i="45"/>
  <c r="AI88" i="45"/>
  <c r="S127" i="45"/>
  <c r="W79" i="45"/>
  <c r="W170" i="45"/>
  <c r="N39" i="45"/>
  <c r="H164" i="45"/>
  <c r="S79" i="45"/>
  <c r="S67" i="45"/>
  <c r="N136" i="45"/>
  <c r="Z143" i="45"/>
  <c r="T88" i="45"/>
  <c r="G24" i="45"/>
  <c r="V89" i="45"/>
  <c r="AE166" i="45"/>
  <c r="P145" i="45"/>
  <c r="V118" i="45"/>
  <c r="AI38" i="45"/>
  <c r="S166" i="45"/>
  <c r="G156" i="45"/>
  <c r="E39" i="45"/>
  <c r="E98" i="45"/>
  <c r="AH9" i="45"/>
  <c r="AI113" i="45"/>
  <c r="S151" i="45"/>
  <c r="AE169" i="45"/>
  <c r="W144" i="45"/>
  <c r="E136" i="45"/>
  <c r="V76" i="45"/>
  <c r="AF45" i="45"/>
  <c r="P125" i="45"/>
  <c r="AE61" i="45"/>
  <c r="K144" i="45"/>
  <c r="AL9" i="45"/>
  <c r="T38" i="45"/>
  <c r="J176" i="45"/>
  <c r="AH107" i="45"/>
  <c r="AK176" i="45"/>
  <c r="AH60" i="45"/>
  <c r="T66" i="45"/>
  <c r="Z163" i="45"/>
  <c r="S113" i="45"/>
  <c r="AI151" i="45"/>
  <c r="W127" i="45"/>
  <c r="AF144" i="45"/>
  <c r="P40" i="45"/>
  <c r="AF151" i="45"/>
  <c r="AE113" i="45"/>
  <c r="AF153" i="45"/>
  <c r="Y46" i="45"/>
  <c r="AK30" i="45"/>
  <c r="AC179" i="45"/>
  <c r="M200" i="45"/>
  <c r="S87" i="45"/>
  <c r="G42" i="45"/>
  <c r="K118" i="45"/>
  <c r="AC88" i="45"/>
  <c r="AE36" i="45"/>
  <c r="AF163" i="45"/>
  <c r="K81" i="45"/>
  <c r="Y175" i="45"/>
  <c r="H154" i="45"/>
  <c r="T60" i="45"/>
  <c r="AL205" i="45"/>
  <c r="N23" i="45"/>
  <c r="AF188" i="45"/>
  <c r="AL89" i="45"/>
  <c r="M154" i="45"/>
  <c r="AE201" i="45"/>
  <c r="AK136" i="45"/>
  <c r="W138" i="45"/>
  <c r="Q185" i="45"/>
  <c r="W132" i="45"/>
  <c r="N176" i="45"/>
  <c r="AH167" i="45"/>
  <c r="AF167" i="45"/>
  <c r="P18" i="45"/>
  <c r="Y39" i="45"/>
  <c r="H78" i="45"/>
  <c r="Z77" i="45"/>
  <c r="P65" i="45"/>
  <c r="M60" i="45"/>
  <c r="AK138" i="45"/>
  <c r="N133" i="45"/>
  <c r="AI161" i="45"/>
  <c r="Y163" i="45"/>
  <c r="W41" i="45"/>
  <c r="P76" i="45"/>
  <c r="AF10" i="45"/>
  <c r="E118" i="45"/>
  <c r="Q61" i="45"/>
  <c r="K185" i="45"/>
  <c r="G25" i="45"/>
  <c r="K205" i="45"/>
  <c r="W133" i="45"/>
  <c r="AC168" i="45"/>
  <c r="AE161" i="45"/>
  <c r="AK161" i="45"/>
  <c r="J177" i="45"/>
  <c r="K155" i="45"/>
  <c r="W151" i="45"/>
  <c r="Y164" i="45"/>
  <c r="AK202" i="45"/>
  <c r="A6" i="17"/>
  <c r="AC90" i="45"/>
  <c r="AL58" i="45"/>
  <c r="K117" i="45"/>
  <c r="E142" i="45"/>
  <c r="E186" i="45"/>
  <c r="K107" i="45"/>
  <c r="W107" i="45"/>
  <c r="Q161" i="45"/>
  <c r="AE80" i="45"/>
  <c r="AI179" i="45"/>
  <c r="AI81" i="45"/>
  <c r="E134" i="45"/>
  <c r="E157" i="45"/>
  <c r="W199" i="45"/>
  <c r="AL75" i="45"/>
  <c r="H127" i="45"/>
  <c r="S29" i="45"/>
  <c r="S161" i="45"/>
  <c r="G200" i="45"/>
  <c r="H175" i="45"/>
  <c r="S115" i="45"/>
  <c r="V170" i="45"/>
  <c r="Q29" i="45"/>
  <c r="Y165" i="45"/>
  <c r="P134" i="45"/>
  <c r="G154" i="45"/>
  <c r="N113" i="45"/>
  <c r="T162" i="45"/>
  <c r="AE74" i="45"/>
  <c r="W11" i="45"/>
  <c r="H202" i="45"/>
  <c r="P179" i="45"/>
  <c r="M81" i="45"/>
  <c r="S27" i="45"/>
  <c r="Z175" i="45"/>
  <c r="Y153" i="45"/>
  <c r="Q186" i="45"/>
  <c r="B7" i="17"/>
  <c r="W189" i="45"/>
  <c r="E96" i="45"/>
  <c r="AF176" i="45"/>
  <c r="H137" i="45"/>
  <c r="AF81" i="45"/>
  <c r="AE104" i="45"/>
  <c r="T115" i="45"/>
  <c r="T106" i="45"/>
  <c r="V199" i="45"/>
  <c r="AF117" i="45"/>
  <c r="Q80" i="45"/>
  <c r="J132" i="45"/>
  <c r="AC28" i="45"/>
  <c r="N180" i="45"/>
  <c r="W76" i="45"/>
  <c r="AB44" i="45"/>
  <c r="H58" i="45"/>
  <c r="J63" i="45"/>
  <c r="AL104" i="45"/>
  <c r="Z144" i="45"/>
  <c r="AF202" i="45"/>
  <c r="AB96" i="45"/>
  <c r="Y26" i="45"/>
  <c r="D11" i="17"/>
  <c r="W10" i="45"/>
  <c r="AF187" i="45"/>
  <c r="S76" i="45"/>
  <c r="AF199" i="45"/>
  <c r="Y117" i="45"/>
  <c r="W66" i="45"/>
  <c r="AI191" i="45"/>
  <c r="T105" i="45"/>
  <c r="AC104" i="45"/>
  <c r="W152" i="45"/>
  <c r="AF66" i="45"/>
  <c r="AH136" i="45"/>
  <c r="E89" i="45"/>
  <c r="AI152" i="45"/>
  <c r="Z90" i="45"/>
  <c r="Q95" i="45"/>
  <c r="AL46" i="45"/>
  <c r="G142" i="45"/>
  <c r="AB61" i="45"/>
  <c r="Q143" i="45"/>
  <c r="AK134" i="45"/>
  <c r="P185" i="45"/>
  <c r="J14" i="45"/>
  <c r="AI137" i="45"/>
  <c r="G157" i="45"/>
  <c r="AE200" i="45"/>
  <c r="G98" i="45"/>
  <c r="Q136" i="45"/>
  <c r="T33" i="45"/>
  <c r="W154" i="45"/>
  <c r="Z61" i="45"/>
  <c r="G134" i="45"/>
  <c r="G202" i="45"/>
  <c r="M116" i="45"/>
  <c r="AC146" i="45"/>
  <c r="K9" i="45"/>
  <c r="E187" i="45"/>
  <c r="AC114" i="45"/>
  <c r="N166" i="45"/>
  <c r="T89" i="45"/>
  <c r="AB43" i="45"/>
  <c r="Q202" i="45"/>
  <c r="AH116" i="45"/>
  <c r="Z189" i="45"/>
  <c r="AC190" i="45"/>
  <c r="P81" i="45"/>
  <c r="E58" i="45"/>
  <c r="E59" i="45"/>
  <c r="P104" i="45"/>
  <c r="J178" i="45"/>
  <c r="N38" i="45"/>
  <c r="N204" i="45"/>
  <c r="AL106" i="45"/>
  <c r="G35" i="45"/>
  <c r="Z37" i="45"/>
  <c r="V43" i="45"/>
  <c r="AI19" i="45"/>
  <c r="T151" i="45"/>
  <c r="V59" i="45"/>
  <c r="AL127" i="45"/>
  <c r="T20" i="45"/>
  <c r="AC23" i="45"/>
  <c r="Q191" i="45"/>
  <c r="Q135" i="45"/>
  <c r="G155" i="45"/>
  <c r="J157" i="45"/>
  <c r="AB98" i="45"/>
  <c r="AB39" i="45"/>
  <c r="E81" i="45"/>
  <c r="Q138" i="45"/>
  <c r="M180" i="45"/>
  <c r="J120" i="45"/>
  <c r="J202" i="45"/>
  <c r="T16" i="45"/>
  <c r="M34" i="45"/>
  <c r="E185" i="45"/>
  <c r="Y103" i="45"/>
  <c r="G117" i="45"/>
  <c r="AB203" i="45"/>
  <c r="H15" i="45"/>
  <c r="E166" i="45"/>
  <c r="AL133" i="45"/>
  <c r="AH177" i="45"/>
  <c r="W120" i="45"/>
  <c r="AC103" i="45"/>
  <c r="G90" i="45"/>
  <c r="V32" i="45"/>
  <c r="Y125" i="45"/>
  <c r="Q79" i="45"/>
  <c r="J104" i="45"/>
  <c r="Q11" i="45"/>
  <c r="A10" i="17"/>
  <c r="P151" i="45"/>
  <c r="Y152" i="45"/>
  <c r="T166" i="45"/>
  <c r="K63" i="45"/>
  <c r="AC65" i="45"/>
  <c r="G9" i="45"/>
  <c r="E167" i="45"/>
  <c r="B6" i="17"/>
  <c r="AK155" i="45"/>
  <c r="M74" i="45"/>
  <c r="H76" i="45"/>
  <c r="Q151" i="45"/>
  <c r="Q175" i="45"/>
  <c r="S35" i="45"/>
  <c r="G39" i="45"/>
  <c r="V37" i="45"/>
  <c r="Z119" i="45"/>
  <c r="V75" i="45"/>
  <c r="E170" i="45"/>
  <c r="H176" i="45"/>
  <c r="AH80" i="45"/>
  <c r="J116" i="45"/>
  <c r="AK67" i="45"/>
  <c r="J82" i="45"/>
  <c r="V14" i="45"/>
  <c r="B5" i="17"/>
  <c r="AE189" i="45"/>
  <c r="Z180" i="45"/>
  <c r="S146" i="45"/>
  <c r="AB133" i="45"/>
  <c r="N157" i="45"/>
  <c r="AD133" i="45"/>
  <c r="U146" i="45"/>
  <c r="AG189" i="45"/>
  <c r="X14" i="45"/>
  <c r="L82" i="45"/>
  <c r="AM67" i="45"/>
  <c r="L116" i="45"/>
  <c r="AJ80" i="45"/>
  <c r="X75" i="45"/>
  <c r="X37" i="45"/>
  <c r="I39" i="45"/>
  <c r="U35" i="45"/>
  <c r="O74" i="45"/>
  <c r="AM155" i="45"/>
  <c r="I9" i="45"/>
  <c r="AA152" i="45"/>
  <c r="R151" i="45"/>
  <c r="L104" i="45"/>
  <c r="AA125" i="45"/>
  <c r="X32" i="45"/>
  <c r="I90" i="45"/>
  <c r="AJ177" i="45"/>
  <c r="AD203" i="45"/>
  <c r="I117" i="45"/>
  <c r="AA103" i="45"/>
  <c r="O34" i="45"/>
  <c r="L202" i="45"/>
  <c r="L120" i="45"/>
  <c r="O180" i="45"/>
  <c r="AD39" i="45"/>
  <c r="AD98" i="45"/>
  <c r="L157" i="45"/>
  <c r="I155" i="45"/>
  <c r="X59" i="45"/>
  <c r="X43" i="45"/>
  <c r="I35" i="45"/>
  <c r="L178" i="45"/>
  <c r="R104" i="45"/>
  <c r="R81" i="45"/>
  <c r="AJ116" i="45"/>
  <c r="AD43" i="45"/>
  <c r="O116" i="45"/>
  <c r="I202" i="45"/>
  <c r="I134" i="45"/>
  <c r="I98" i="45"/>
  <c r="AG200" i="45"/>
  <c r="I157" i="45"/>
  <c r="L14" i="45"/>
  <c r="R185" i="45"/>
  <c r="AM134" i="45"/>
  <c r="AD61" i="45"/>
  <c r="I142" i="45"/>
  <c r="AJ136" i="45"/>
  <c r="AA117" i="45"/>
  <c r="U76" i="45"/>
  <c r="AA26" i="45"/>
  <c r="AD96" i="45"/>
  <c r="L63" i="45"/>
  <c r="AD44" i="45"/>
  <c r="L132" i="45"/>
  <c r="X199" i="45"/>
  <c r="AG104" i="45"/>
  <c r="AA153" i="45"/>
  <c r="U27" i="45"/>
  <c r="O81" i="45"/>
  <c r="R179" i="45"/>
  <c r="AG74" i="45"/>
  <c r="I154" i="45"/>
  <c r="R134" i="45"/>
  <c r="AA165" i="45"/>
  <c r="X170" i="45"/>
  <c r="U115" i="45"/>
  <c r="I200" i="45"/>
  <c r="U161" i="45"/>
  <c r="U29" i="45"/>
  <c r="AG80" i="45"/>
  <c r="AM202" i="45"/>
  <c r="AA164" i="45"/>
  <c r="L177" i="45"/>
  <c r="AM161" i="45"/>
  <c r="AG161" i="45"/>
  <c r="I25" i="45"/>
  <c r="R76" i="45"/>
  <c r="AA163" i="45"/>
  <c r="AM138" i="45"/>
  <c r="O60" i="45"/>
  <c r="R65" i="45"/>
  <c r="AA39" i="45"/>
  <c r="R18" i="45"/>
  <c r="AJ167" i="45"/>
  <c r="AM136" i="45"/>
  <c r="AG201" i="45"/>
  <c r="O154" i="45"/>
  <c r="AA175" i="45"/>
  <c r="AG36" i="45"/>
  <c r="I42" i="45"/>
  <c r="U87" i="45"/>
  <c r="O200" i="45"/>
  <c r="AM30" i="45"/>
  <c r="AA46" i="45"/>
  <c r="AG113" i="45"/>
  <c r="R40" i="45"/>
  <c r="U113" i="45"/>
  <c r="AJ60" i="45"/>
  <c r="AM176" i="45"/>
  <c r="AJ107" i="45"/>
  <c r="L176" i="45"/>
  <c r="AG61" i="45"/>
  <c r="R125" i="45"/>
  <c r="X76" i="45"/>
  <c r="AG169" i="45"/>
  <c r="U151" i="45"/>
  <c r="AJ9" i="45"/>
  <c r="I156" i="45"/>
  <c r="U166" i="45"/>
  <c r="X118" i="45"/>
  <c r="R145" i="45"/>
  <c r="AG166" i="45"/>
  <c r="X89" i="45"/>
  <c r="I24" i="45"/>
  <c r="U67" i="45"/>
  <c r="U79" i="45"/>
  <c r="U127" i="45"/>
  <c r="U147" i="45"/>
  <c r="AG151" i="45"/>
  <c r="R176" i="45"/>
  <c r="AJ187" i="45"/>
  <c r="AJ166" i="45"/>
  <c r="O82" i="45"/>
  <c r="U175" i="45"/>
  <c r="O155" i="45"/>
  <c r="AG15" i="45"/>
  <c r="L191" i="45"/>
  <c r="AJ32" i="45"/>
  <c r="AD127" i="45"/>
  <c r="AG38" i="45"/>
  <c r="R96" i="45"/>
  <c r="L76" i="45"/>
  <c r="L80" i="45"/>
  <c r="O176" i="45"/>
  <c r="U189" i="45"/>
  <c r="AG107" i="45"/>
  <c r="AD66" i="45"/>
  <c r="AG31" i="45"/>
  <c r="L119" i="45"/>
  <c r="R169" i="45"/>
  <c r="O188" i="45"/>
  <c r="AA199" i="45"/>
  <c r="I165" i="45"/>
  <c r="AG95" i="45"/>
  <c r="L205" i="45"/>
  <c r="AG12" i="45"/>
  <c r="U154" i="45"/>
  <c r="AA25" i="45"/>
  <c r="AJ127" i="45"/>
  <c r="I10" i="17"/>
  <c r="L143" i="45"/>
  <c r="AJ143" i="45"/>
  <c r="R133" i="45"/>
  <c r="AA162" i="45"/>
  <c r="AD137" i="45"/>
  <c r="AD163" i="45"/>
  <c r="AM175" i="45"/>
  <c r="I96" i="45"/>
  <c r="O202" i="45"/>
  <c r="O161" i="45"/>
  <c r="L169" i="45"/>
  <c r="I166" i="45"/>
  <c r="O117" i="45"/>
  <c r="U143" i="45"/>
  <c r="U136" i="45"/>
  <c r="I44" i="45"/>
  <c r="AG146" i="45"/>
  <c r="AG152" i="45"/>
  <c r="I199" i="45"/>
  <c r="I58" i="45"/>
  <c r="L189" i="45"/>
  <c r="L97" i="45"/>
  <c r="O118" i="45"/>
  <c r="O32" i="45"/>
  <c r="I177" i="45"/>
  <c r="U164" i="45"/>
  <c r="X81" i="45"/>
  <c r="AD135" i="45"/>
  <c r="AG23" i="45"/>
  <c r="O77" i="45"/>
  <c r="O135" i="45"/>
  <c r="AM204" i="45"/>
  <c r="AG25" i="45"/>
  <c r="AA205" i="45"/>
  <c r="AA95" i="45"/>
  <c r="O114" i="45"/>
  <c r="AA80" i="45"/>
  <c r="R205" i="45"/>
  <c r="I29" i="45"/>
  <c r="AD42" i="45"/>
  <c r="R21" i="45"/>
  <c r="L77" i="45"/>
  <c r="O169" i="45"/>
  <c r="O157" i="45"/>
  <c r="AJ138" i="45"/>
  <c r="AA114" i="45"/>
  <c r="AD78" i="45"/>
  <c r="L118" i="45"/>
  <c r="AJ115" i="45"/>
  <c r="AJ144" i="45"/>
  <c r="X136" i="45"/>
  <c r="AJ204" i="45"/>
  <c r="L161" i="45"/>
  <c r="L117" i="45"/>
  <c r="AM200" i="45"/>
  <c r="AM46" i="45"/>
  <c r="I88" i="45"/>
  <c r="AJ61" i="45"/>
  <c r="AD60" i="45"/>
  <c r="AJ103" i="45"/>
  <c r="L75" i="45"/>
  <c r="AD138" i="45"/>
  <c r="AM189" i="45"/>
  <c r="AJ125" i="45"/>
  <c r="U36" i="45"/>
  <c r="L38" i="45"/>
  <c r="I203" i="45"/>
  <c r="AA82" i="45"/>
  <c r="AD82" i="45"/>
  <c r="X66" i="45"/>
  <c r="L16" i="45"/>
  <c r="X164" i="45"/>
  <c r="L163" i="45"/>
  <c r="AA161" i="45"/>
  <c r="AM61" i="45"/>
  <c r="I151" i="45"/>
  <c r="AD200" i="45"/>
  <c r="AJ41" i="45"/>
  <c r="O19" i="45"/>
  <c r="O67" i="45"/>
  <c r="R117" i="45"/>
  <c r="R170" i="45"/>
  <c r="AA113" i="45"/>
  <c r="AG167" i="45"/>
  <c r="AM153" i="45"/>
  <c r="AA45" i="45"/>
  <c r="AA188" i="45"/>
  <c r="AA87" i="45"/>
  <c r="AM177" i="45"/>
  <c r="I34" i="45"/>
  <c r="AA203" i="45"/>
  <c r="AA204" i="45"/>
  <c r="L166" i="45"/>
  <c r="AD21" i="45"/>
  <c r="R189" i="45"/>
  <c r="R126" i="45"/>
  <c r="AD87" i="45"/>
  <c r="AJ156" i="45"/>
  <c r="AG136" i="45"/>
  <c r="O44" i="45"/>
  <c r="X33" i="45"/>
  <c r="X97" i="45"/>
  <c r="AJ19" i="45"/>
  <c r="X125" i="45"/>
  <c r="AG157" i="45"/>
  <c r="AA32" i="45"/>
  <c r="AD95" i="45"/>
  <c r="X113" i="45"/>
  <c r="AJ199" i="45"/>
  <c r="AA118" i="45"/>
  <c r="X134" i="45"/>
  <c r="AJ155" i="45"/>
  <c r="AJ189" i="45"/>
  <c r="O201" i="45"/>
  <c r="X30" i="45"/>
  <c r="O191" i="45"/>
  <c r="AJ106" i="45"/>
  <c r="AJ66" i="45"/>
  <c r="U142" i="45"/>
  <c r="AA34" i="45"/>
  <c r="AD204" i="45"/>
  <c r="O187" i="45"/>
  <c r="O58" i="45"/>
  <c r="R63" i="45"/>
  <c r="U202" i="45"/>
  <c r="AG156" i="45"/>
  <c r="X180" i="45"/>
  <c r="AD199" i="45"/>
  <c r="AA65" i="45"/>
  <c r="O113" i="45"/>
  <c r="AG153" i="45"/>
  <c r="X133" i="45"/>
  <c r="U75" i="45"/>
  <c r="AG120" i="45"/>
  <c r="AJ164" i="45"/>
  <c r="I127" i="45"/>
  <c r="I136" i="45"/>
  <c r="AG105" i="45"/>
  <c r="R132" i="45"/>
  <c r="AJ147" i="45"/>
  <c r="X132" i="45"/>
  <c r="X189" i="45"/>
  <c r="AM36" i="45"/>
  <c r="O185" i="45"/>
  <c r="AD202" i="45"/>
  <c r="U42" i="45"/>
  <c r="AG203" i="45"/>
  <c r="L135" i="45"/>
  <c r="AG185" i="45"/>
  <c r="U60" i="45"/>
  <c r="AG143" i="45"/>
  <c r="X151" i="45"/>
  <c r="X161" i="45"/>
  <c r="AD152" i="45"/>
  <c r="O105" i="45"/>
  <c r="R34" i="45"/>
  <c r="AA147" i="45"/>
  <c r="L146" i="45"/>
  <c r="L179" i="45"/>
  <c r="L15" i="45"/>
  <c r="U65" i="45"/>
  <c r="U191" i="45"/>
  <c r="L144" i="45"/>
  <c r="AG28" i="45"/>
  <c r="AA59" i="45"/>
  <c r="L125" i="45"/>
  <c r="I62" i="45"/>
  <c r="AG163" i="45"/>
  <c r="AJ132" i="45"/>
  <c r="AJ200" i="45"/>
  <c r="AM114" i="45"/>
  <c r="U116" i="45"/>
  <c r="I204" i="45"/>
  <c r="AG179" i="45"/>
  <c r="AD175" i="45"/>
  <c r="I66" i="45"/>
  <c r="AA176" i="45"/>
  <c r="U10" i="45"/>
  <c r="R113" i="45"/>
  <c r="X167" i="45"/>
  <c r="X201" i="45"/>
  <c r="AD162" i="45"/>
  <c r="U106" i="45"/>
  <c r="U64" i="45"/>
  <c r="AA15" i="45"/>
  <c r="U144" i="45"/>
  <c r="AD205" i="45"/>
  <c r="AG40" i="45"/>
  <c r="AJ170" i="45"/>
  <c r="AJ169" i="45"/>
  <c r="AA189" i="45"/>
  <c r="R203" i="45"/>
  <c r="AD79" i="45"/>
  <c r="O89" i="45"/>
  <c r="AA79" i="45"/>
  <c r="U74" i="45"/>
  <c r="AJ202" i="45"/>
  <c r="X187" i="45"/>
  <c r="L61" i="45"/>
  <c r="O126" i="45"/>
  <c r="AD113" i="45"/>
  <c r="AD125" i="45"/>
  <c r="AG135" i="45"/>
  <c r="O27" i="45"/>
  <c r="I95" i="45"/>
  <c r="AJ42" i="45"/>
  <c r="AJ20" i="45"/>
  <c r="X175" i="45"/>
  <c r="AA107" i="45"/>
  <c r="X115" i="45"/>
  <c r="U137" i="45"/>
  <c r="X103" i="45"/>
  <c r="AG18" i="45"/>
  <c r="X191" i="45"/>
  <c r="X155" i="45"/>
  <c r="L115" i="45"/>
  <c r="AA200" i="45"/>
  <c r="AJ16" i="45"/>
  <c r="AM133" i="45"/>
  <c r="R29" i="45"/>
  <c r="O186" i="45"/>
  <c r="R156" i="45"/>
  <c r="R164" i="45"/>
  <c r="I188" i="45"/>
  <c r="AJ176" i="45"/>
  <c r="O45" i="45"/>
  <c r="I186" i="45"/>
  <c r="I45" i="45"/>
  <c r="AA157" i="45"/>
  <c r="AJ165" i="45"/>
  <c r="U41" i="45"/>
  <c r="U98" i="45"/>
  <c r="AD63" i="45"/>
  <c r="R20" i="45"/>
  <c r="AD156" i="45"/>
  <c r="AJ168" i="45"/>
  <c r="R154" i="45"/>
  <c r="X10" i="45"/>
  <c r="O153" i="45"/>
  <c r="AM13" i="45"/>
  <c r="AJ161" i="45"/>
  <c r="U134" i="45"/>
  <c r="AG97" i="45"/>
  <c r="AM137" i="45"/>
  <c r="AG142" i="45"/>
  <c r="AD167" i="45"/>
  <c r="U30" i="45"/>
  <c r="L175" i="45"/>
  <c r="AA179" i="45"/>
  <c r="AJ153" i="45"/>
  <c r="AM201" i="45"/>
  <c r="AG88" i="45"/>
  <c r="U62" i="45"/>
  <c r="X77" i="45"/>
  <c r="AA201" i="45"/>
  <c r="AA202" i="45"/>
  <c r="R127" i="45"/>
  <c r="R118" i="45"/>
  <c r="AG78" i="45"/>
  <c r="AJ188" i="45"/>
  <c r="X96" i="45"/>
  <c r="I64" i="45"/>
  <c r="AD165" i="45"/>
  <c r="X162" i="45"/>
  <c r="O106" i="45"/>
  <c r="AJ21" i="45"/>
  <c r="AM88" i="45"/>
  <c r="AG64" i="45"/>
  <c r="I187" i="45"/>
  <c r="O75" i="45"/>
  <c r="AG178" i="45"/>
  <c r="L126" i="45"/>
  <c r="L78" i="45"/>
  <c r="AG144" i="45"/>
  <c r="AD115" i="45"/>
  <c r="AD201" i="45"/>
  <c r="X119" i="45"/>
  <c r="L113" i="45"/>
  <c r="AM97" i="45"/>
  <c r="AG138" i="45"/>
  <c r="O62" i="45"/>
  <c r="U82" i="45"/>
  <c r="R82" i="45"/>
  <c r="AG29" i="45"/>
  <c r="R163" i="45"/>
  <c r="O167" i="45"/>
  <c r="U168" i="45"/>
  <c r="AM168" i="45"/>
  <c r="U152" i="45"/>
  <c r="AD176" i="45"/>
  <c r="E11" i="17"/>
  <c r="X204" i="45"/>
  <c r="O79" i="45"/>
  <c r="AA90" i="45"/>
  <c r="AM118" i="45"/>
  <c r="AJ15" i="45"/>
  <c r="R177" i="45"/>
  <c r="AJ146" i="45"/>
  <c r="AJ190" i="45"/>
  <c r="AJ17" i="45"/>
  <c r="L133" i="45"/>
  <c r="AJ87" i="45"/>
  <c r="AM142" i="45"/>
  <c r="AD146" i="45"/>
  <c r="AG165" i="45"/>
  <c r="L203" i="45"/>
  <c r="I143" i="45"/>
  <c r="X117" i="45"/>
  <c r="I60" i="45"/>
  <c r="I36" i="45"/>
  <c r="X166" i="45"/>
  <c r="I153" i="45"/>
  <c r="O119" i="45"/>
  <c r="I78" i="45"/>
  <c r="O204" i="45"/>
  <c r="R157" i="45"/>
  <c r="AM180" i="45"/>
  <c r="O115" i="45"/>
  <c r="AA135" i="45"/>
  <c r="X79" i="45"/>
  <c r="AD120" i="45"/>
  <c r="R202" i="45"/>
  <c r="AJ142" i="45"/>
  <c r="U105" i="45"/>
  <c r="O166" i="45"/>
  <c r="U90" i="45"/>
  <c r="I137" i="45"/>
  <c r="I169" i="45"/>
  <c r="I76" i="45"/>
  <c r="O147" i="45"/>
  <c r="AD80" i="45"/>
  <c r="R61" i="45"/>
  <c r="U15" i="45"/>
  <c r="I152" i="45"/>
  <c r="O15" i="45"/>
  <c r="U185" i="45"/>
  <c r="R190" i="45"/>
  <c r="AJ33" i="45"/>
  <c r="AD29" i="45"/>
  <c r="L90" i="45"/>
  <c r="AJ79" i="45"/>
  <c r="AM199" i="45"/>
  <c r="AA146" i="45"/>
  <c r="R162" i="45"/>
  <c r="AJ64" i="45"/>
  <c r="R165" i="45"/>
  <c r="X176" i="45"/>
  <c r="AD153" i="45"/>
  <c r="AD76" i="45"/>
  <c r="AG90" i="45"/>
  <c r="AA21" i="45"/>
  <c r="AJ35" i="45"/>
  <c r="L22" i="45"/>
  <c r="AM98" i="45"/>
  <c r="AG137" i="45"/>
  <c r="R106" i="45"/>
  <c r="X200" i="45"/>
  <c r="R155" i="45"/>
  <c r="AG188" i="45"/>
  <c r="L154" i="45"/>
  <c r="R66" i="45"/>
  <c r="R168" i="45"/>
  <c r="AJ178" i="45"/>
  <c r="AG177" i="45"/>
  <c r="AM76" i="45"/>
  <c r="AD116" i="45"/>
  <c r="R199" i="45"/>
  <c r="X36" i="45"/>
  <c r="AA180" i="45"/>
  <c r="AM186" i="45"/>
  <c r="AD45" i="45"/>
  <c r="I185" i="45"/>
  <c r="R187" i="45"/>
  <c r="AG37" i="45"/>
  <c r="AA78" i="45"/>
  <c r="L155" i="45"/>
  <c r="R116" i="45"/>
  <c r="O205" i="45"/>
  <c r="O170" i="45"/>
  <c r="AJ95" i="45"/>
  <c r="R77" i="45"/>
  <c r="X185" i="45"/>
  <c r="AM117" i="45"/>
  <c r="U205" i="45"/>
  <c r="AA106" i="45"/>
  <c r="L28" i="45"/>
  <c r="AM75" i="45"/>
  <c r="O95" i="45"/>
  <c r="O29" i="45"/>
  <c r="AG30" i="45"/>
  <c r="AA12" i="45"/>
  <c r="U203" i="45"/>
  <c r="X147" i="45"/>
  <c r="X205" i="45"/>
  <c r="I189" i="45"/>
  <c r="AG26" i="45"/>
  <c r="AG39" i="45"/>
  <c r="AJ98" i="45"/>
  <c r="X60" i="45"/>
  <c r="U132" i="45"/>
  <c r="O190" i="45"/>
  <c r="AJ203" i="45"/>
  <c r="L187" i="45"/>
  <c r="AJ81" i="45"/>
  <c r="AJ89" i="45"/>
  <c r="AG186" i="45"/>
  <c r="O136" i="45"/>
  <c r="AJ201" i="45"/>
  <c r="AM145" i="45"/>
  <c r="AD170" i="45"/>
  <c r="X143" i="45"/>
  <c r="AJ145" i="45"/>
  <c r="L200" i="45"/>
  <c r="AM81" i="45"/>
  <c r="I168" i="45"/>
  <c r="AJ120" i="45"/>
  <c r="R200" i="45"/>
  <c r="X168" i="45"/>
  <c r="AJ44" i="45"/>
  <c r="L96" i="45"/>
  <c r="AM10" i="45"/>
  <c r="AA38" i="45"/>
  <c r="AG32" i="45"/>
  <c r="O137" i="45"/>
  <c r="X44" i="45"/>
  <c r="AD191" i="45"/>
  <c r="AD190" i="45"/>
  <c r="AG66" i="45"/>
  <c r="AA127" i="45"/>
  <c r="AA116" i="45"/>
  <c r="I118" i="45"/>
  <c r="O162" i="45"/>
  <c r="O165" i="45"/>
  <c r="L45" i="45"/>
  <c r="AM188" i="45"/>
  <c r="X135" i="45"/>
  <c r="I81" i="45"/>
  <c r="X88" i="45"/>
  <c r="AA58" i="45"/>
  <c r="AJ186" i="45"/>
  <c r="I161" i="45"/>
  <c r="O138" i="45"/>
  <c r="O203" i="45"/>
  <c r="AG58" i="45"/>
  <c r="AG199" i="45"/>
  <c r="U19" i="45"/>
  <c r="O36" i="45"/>
  <c r="R98" i="45"/>
  <c r="L24" i="45"/>
  <c r="R11" i="45"/>
  <c r="AD58" i="45"/>
  <c r="AA37" i="45"/>
  <c r="L186" i="45"/>
  <c r="I43" i="45"/>
  <c r="U170" i="45"/>
  <c r="O21" i="45"/>
  <c r="R153" i="45"/>
  <c r="U135" i="45"/>
  <c r="AM151" i="45"/>
  <c r="R175" i="45"/>
  <c r="R161" i="45"/>
  <c r="L190" i="45"/>
  <c r="X38" i="45"/>
  <c r="X203" i="45"/>
  <c r="X154" i="45"/>
  <c r="AJ179" i="45"/>
  <c r="I119" i="45"/>
  <c r="L185" i="45"/>
  <c r="U155" i="45"/>
  <c r="I115" i="45"/>
  <c r="AA138" i="45"/>
  <c r="O164" i="45"/>
  <c r="AD28" i="45"/>
  <c r="R25" i="45"/>
  <c r="I59" i="45"/>
  <c r="AA22" i="45"/>
  <c r="I23" i="45"/>
  <c r="AA23" i="45"/>
  <c r="AG127" i="45"/>
  <c r="AJ157" i="45"/>
  <c r="I133" i="45"/>
  <c r="L35" i="45"/>
  <c r="AM87" i="45"/>
  <c r="AD65" i="45"/>
  <c r="R13" i="45"/>
  <c r="U97" i="45"/>
  <c r="AG168" i="45"/>
  <c r="U46" i="45"/>
  <c r="O28" i="45"/>
  <c r="AG60" i="45"/>
  <c r="AM185" i="45"/>
  <c r="AG117" i="45"/>
  <c r="I103" i="45"/>
  <c r="X46" i="45"/>
  <c r="AD151" i="45"/>
  <c r="AG11" i="45"/>
  <c r="U18" i="45"/>
  <c r="AG114" i="45"/>
  <c r="AG62" i="45"/>
  <c r="AG22" i="45"/>
  <c r="X202" i="45"/>
  <c r="L170" i="45"/>
  <c r="I132" i="45"/>
  <c r="AD166" i="45"/>
  <c r="O107" i="45"/>
  <c r="X163" i="45"/>
  <c r="AM116" i="45"/>
  <c r="R89" i="45"/>
  <c r="O189" i="45"/>
  <c r="AM11" i="45"/>
  <c r="I15" i="45"/>
  <c r="AG126" i="45"/>
  <c r="AM63" i="45"/>
  <c r="AM26" i="45"/>
  <c r="D35" i="39"/>
  <c r="E8" i="17"/>
  <c r="AM32" i="45"/>
  <c r="I11" i="45"/>
  <c r="I176" i="45"/>
  <c r="I190" i="45"/>
  <c r="U178" i="45"/>
  <c r="O43" i="45"/>
  <c r="AD136" i="45"/>
  <c r="AJ135" i="45"/>
  <c r="I135" i="45"/>
  <c r="AD16" i="45"/>
  <c r="X145" i="45"/>
  <c r="AG79" i="45"/>
  <c r="AA134" i="45"/>
  <c r="R46" i="45"/>
  <c r="AA115" i="45"/>
  <c r="AG180" i="45"/>
  <c r="U78" i="45"/>
  <c r="L138" i="45"/>
  <c r="O98" i="45"/>
  <c r="AG34" i="45"/>
  <c r="U120" i="45"/>
  <c r="AA133" i="45"/>
  <c r="X178" i="45"/>
  <c r="AJ185" i="45"/>
  <c r="AM166" i="45"/>
  <c r="R27" i="45"/>
  <c r="AD189" i="45"/>
  <c r="U163" i="45"/>
  <c r="AD34" i="45"/>
  <c r="L17" i="45"/>
  <c r="X35" i="45"/>
  <c r="L162" i="45"/>
  <c r="U200" i="45"/>
  <c r="U22" i="45"/>
  <c r="AD185" i="45"/>
  <c r="AD157" i="45"/>
  <c r="R166" i="45"/>
  <c r="I167" i="45"/>
  <c r="U43" i="45"/>
  <c r="AA30" i="45"/>
  <c r="R137" i="45"/>
  <c r="L11" i="45"/>
  <c r="AD15" i="45"/>
  <c r="AJ134" i="45"/>
  <c r="R186" i="45"/>
  <c r="X116" i="45"/>
  <c r="I164" i="45"/>
  <c r="I162" i="45"/>
  <c r="AM79" i="45"/>
  <c r="AJ119" i="45"/>
  <c r="AM162" i="45"/>
  <c r="O178" i="45"/>
  <c r="L147" i="45"/>
  <c r="R75" i="45"/>
  <c r="AG132" i="45"/>
  <c r="AJ162" i="45"/>
  <c r="AD107" i="45"/>
  <c r="I40" i="45"/>
  <c r="AG154" i="45"/>
  <c r="AD186" i="45"/>
  <c r="L168" i="45"/>
  <c r="AA36" i="45"/>
  <c r="AD161" i="45"/>
  <c r="AM190" i="45"/>
  <c r="R24" i="45"/>
  <c r="I19" i="45"/>
  <c r="AA29" i="45"/>
  <c r="AD32" i="45"/>
  <c r="AA16" i="45"/>
  <c r="AD118" i="45"/>
  <c r="L9" i="45"/>
  <c r="X153" i="45"/>
  <c r="R97" i="45"/>
  <c r="L66" i="45"/>
  <c r="X18" i="45"/>
  <c r="AG133" i="45"/>
  <c r="X156" i="45"/>
  <c r="X169" i="45"/>
  <c r="U180" i="45"/>
  <c r="R19" i="45"/>
  <c r="AD19" i="45"/>
  <c r="X142" i="45"/>
  <c r="AJ151" i="45"/>
  <c r="AJ205" i="45"/>
  <c r="AM191" i="45"/>
  <c r="AM33" i="45"/>
  <c r="O78" i="45"/>
  <c r="AA104" i="45"/>
  <c r="AM14" i="45"/>
  <c r="X67" i="45"/>
  <c r="O16" i="45"/>
  <c r="X82" i="45"/>
  <c r="R119" i="45"/>
  <c r="U167" i="45"/>
  <c r="L88" i="45"/>
  <c r="X105" i="45"/>
  <c r="AD187" i="45"/>
  <c r="AG162" i="45"/>
  <c r="L137" i="45"/>
  <c r="AA17" i="45"/>
  <c r="O46" i="45"/>
  <c r="AD132" i="45"/>
  <c r="X16" i="45"/>
  <c r="X157" i="45"/>
  <c r="O97" i="45"/>
  <c r="AG115" i="45"/>
  <c r="AJ137" i="45"/>
  <c r="AM105" i="45"/>
  <c r="AM95" i="45"/>
  <c r="L103" i="45"/>
  <c r="AM21" i="45"/>
  <c r="AG145" i="45"/>
  <c r="AD90" i="45"/>
  <c r="AJ43" i="45"/>
  <c r="AM39" i="45"/>
  <c r="U126" i="45"/>
  <c r="O168" i="45"/>
  <c r="AA168" i="45"/>
  <c r="AG191" i="45"/>
  <c r="X138" i="45"/>
  <c r="R135" i="45"/>
  <c r="R188" i="45"/>
  <c r="AA154" i="45"/>
  <c r="X95" i="45"/>
  <c r="O156" i="45"/>
  <c r="L87" i="45"/>
  <c r="U125" i="45"/>
  <c r="AJ152" i="45"/>
  <c r="I105" i="45"/>
  <c r="AA33" i="45"/>
  <c r="AM156" i="45"/>
  <c r="L180" i="45"/>
  <c r="R33" i="45"/>
  <c r="L107" i="45"/>
  <c r="AA143" i="45"/>
  <c r="X25" i="45"/>
  <c r="R39" i="45"/>
  <c r="O177" i="45"/>
  <c r="AJ36" i="45"/>
  <c r="AD179" i="45"/>
  <c r="AD38" i="45"/>
  <c r="O41" i="45"/>
  <c r="AM66" i="45"/>
  <c r="AD104" i="45"/>
  <c r="AD103" i="45"/>
  <c r="AG46" i="45"/>
  <c r="AD188" i="45"/>
  <c r="U186" i="45"/>
  <c r="L204" i="45"/>
  <c r="AJ45" i="45"/>
  <c r="AM144" i="45"/>
  <c r="U13" i="45"/>
  <c r="U88" i="45"/>
  <c r="O38" i="45"/>
  <c r="AD144" i="45"/>
  <c r="X98" i="45"/>
  <c r="X144" i="45"/>
  <c r="AD26" i="45"/>
  <c r="X19" i="45"/>
  <c r="AJ180" i="45"/>
  <c r="AA178" i="45"/>
  <c r="R167" i="45"/>
  <c r="U156" i="45"/>
  <c r="I205" i="45"/>
  <c r="O65" i="45"/>
  <c r="O87" i="45"/>
  <c r="AG96" i="45"/>
  <c r="L64" i="45"/>
  <c r="AD9" i="45"/>
  <c r="L81" i="45"/>
  <c r="U89" i="45"/>
  <c r="AM146" i="45"/>
  <c r="X114" i="45"/>
  <c r="O66" i="45"/>
  <c r="AA169" i="45"/>
  <c r="AA64" i="45"/>
  <c r="I116" i="45"/>
  <c r="AG147" i="45"/>
  <c r="U145" i="45"/>
  <c r="AJ10" i="45"/>
  <c r="U104" i="45"/>
  <c r="O12" i="45"/>
  <c r="AJ90" i="45"/>
  <c r="L145" i="45"/>
  <c r="O14" i="45"/>
  <c r="AD74" i="45"/>
  <c r="AM178" i="45"/>
  <c r="X177" i="45"/>
  <c r="AA35" i="45"/>
  <c r="U187" i="45"/>
  <c r="R12" i="45"/>
  <c r="R143" i="45"/>
  <c r="AG75" i="45"/>
  <c r="AJ114" i="45"/>
  <c r="O20" i="45"/>
  <c r="X41" i="45"/>
  <c r="AD27" i="45"/>
  <c r="U138" i="45"/>
  <c r="I179" i="45"/>
  <c r="I104" i="45"/>
  <c r="L32" i="45"/>
  <c r="I32" i="45"/>
  <c r="AG77" i="45"/>
  <c r="AG87" i="45"/>
  <c r="O10" i="45"/>
  <c r="R31" i="45"/>
  <c r="L46" i="45"/>
  <c r="AA126" i="45"/>
  <c r="AD142" i="45"/>
  <c r="X186" i="45"/>
  <c r="X120" i="45"/>
  <c r="I87" i="45"/>
  <c r="U199" i="45"/>
  <c r="U176" i="45"/>
  <c r="I170" i="45"/>
  <c r="O103" i="45"/>
  <c r="I175" i="45"/>
  <c r="X179" i="45"/>
  <c r="AA156" i="45"/>
  <c r="L39" i="45"/>
  <c r="AG103" i="45"/>
  <c r="AD40" i="45"/>
  <c r="U169" i="45"/>
  <c r="X29" i="45"/>
  <c r="L67" i="45"/>
  <c r="AG125" i="45"/>
  <c r="R114" i="45"/>
  <c r="AA77" i="45"/>
  <c r="O22" i="45"/>
  <c r="AG106" i="45"/>
  <c r="AA9" i="45"/>
  <c r="AM132" i="45"/>
  <c r="AG204" i="45"/>
  <c r="AJ105" i="45"/>
  <c r="R191" i="45"/>
  <c r="AD22" i="45"/>
  <c r="L19" i="45"/>
  <c r="AD126" i="45"/>
  <c r="I145" i="45"/>
  <c r="AM12" i="45"/>
  <c r="U80" i="45"/>
  <c r="R152" i="45"/>
  <c r="AD154" i="45"/>
  <c r="L23" i="45"/>
  <c r="R79" i="45"/>
  <c r="U20" i="45"/>
  <c r="AD59" i="45"/>
  <c r="AM103" i="45"/>
  <c r="R16" i="45"/>
  <c r="R45" i="45"/>
  <c r="L105" i="45"/>
  <c r="AM163" i="45"/>
  <c r="AG175" i="45"/>
  <c r="U11" i="45"/>
  <c r="AM62" i="45"/>
  <c r="AJ76" i="45"/>
  <c r="AA191" i="45"/>
  <c r="AA177" i="45"/>
  <c r="R36" i="45"/>
  <c r="AA67" i="45"/>
  <c r="AA144" i="45"/>
  <c r="O18" i="45"/>
  <c r="AA190" i="45"/>
  <c r="AD97" i="45"/>
  <c r="I77" i="45"/>
  <c r="AG65" i="45"/>
  <c r="L26" i="45"/>
  <c r="O143" i="45"/>
  <c r="U39" i="45"/>
  <c r="AJ46" i="45"/>
  <c r="AM77" i="45"/>
  <c r="R144" i="45"/>
  <c r="L164" i="45"/>
  <c r="AJ11" i="45"/>
  <c r="L40" i="45"/>
  <c r="AM164" i="45"/>
  <c r="L152" i="45"/>
  <c r="L58" i="45"/>
  <c r="AM65" i="45"/>
  <c r="AM40" i="45"/>
  <c r="L21" i="45"/>
  <c r="R105" i="45"/>
  <c r="X31" i="45"/>
  <c r="AJ22" i="45"/>
  <c r="L89" i="45"/>
  <c r="I61" i="45"/>
  <c r="O152" i="45"/>
  <c r="AA11" i="45"/>
  <c r="X40" i="45"/>
  <c r="U119" i="45"/>
  <c r="L74" i="45"/>
  <c r="AD143" i="45"/>
  <c r="X107" i="45"/>
  <c r="AA155" i="45"/>
  <c r="AD33" i="45"/>
  <c r="O24" i="45"/>
  <c r="AM80" i="45"/>
  <c r="AA132" i="45"/>
  <c r="AM152" i="45"/>
  <c r="L142" i="45"/>
  <c r="AJ14" i="45"/>
  <c r="R178" i="45"/>
  <c r="AM169" i="45"/>
  <c r="AG82" i="45"/>
  <c r="AD88" i="45"/>
  <c r="I33" i="45"/>
  <c r="AA13" i="45"/>
  <c r="AJ27" i="45"/>
  <c r="R138" i="45"/>
  <c r="U201" i="45"/>
  <c r="AD12" i="45"/>
  <c r="U114" i="45"/>
  <c r="U44" i="45"/>
  <c r="L36" i="45"/>
  <c r="R74" i="45"/>
  <c r="AG21" i="45"/>
  <c r="X126" i="45"/>
  <c r="R146" i="45"/>
  <c r="AA74" i="45"/>
  <c r="AA61" i="45"/>
  <c r="AA60" i="45"/>
  <c r="AD10" i="45"/>
  <c r="U118" i="45"/>
  <c r="AG170" i="45"/>
  <c r="AJ97" i="45"/>
  <c r="X27" i="45"/>
  <c r="I180" i="45"/>
  <c r="O179" i="45"/>
  <c r="O145" i="45"/>
  <c r="L98" i="45"/>
  <c r="O133" i="45"/>
  <c r="X61" i="45"/>
  <c r="U63" i="45"/>
  <c r="AD114" i="45"/>
  <c r="U190" i="45"/>
  <c r="AA62" i="45"/>
  <c r="AA185" i="45"/>
  <c r="AM82" i="45"/>
  <c r="O199" i="45"/>
  <c r="AM59" i="45"/>
  <c r="AD35" i="45"/>
  <c r="AM167" i="45"/>
  <c r="AD31" i="45"/>
  <c r="X80" i="45"/>
  <c r="AG35" i="45"/>
  <c r="R35" i="45"/>
  <c r="AA66" i="45"/>
  <c r="X63" i="45"/>
  <c r="O146" i="45"/>
  <c r="L156" i="45"/>
  <c r="AG89" i="45"/>
  <c r="AD37" i="45"/>
  <c r="AJ28" i="45"/>
  <c r="AM126" i="45"/>
  <c r="AA19" i="45"/>
  <c r="R201" i="45"/>
  <c r="AJ82" i="45"/>
  <c r="AA186" i="45"/>
  <c r="AM104" i="45"/>
  <c r="AA170" i="45"/>
  <c r="I191" i="45"/>
  <c r="U37" i="45"/>
  <c r="O63" i="45"/>
  <c r="L188" i="45"/>
  <c r="R120" i="45"/>
  <c r="AM203" i="45"/>
  <c r="R80" i="45"/>
  <c r="AM25" i="45"/>
  <c r="AM157" i="45"/>
  <c r="AJ13" i="45"/>
  <c r="X23" i="45"/>
  <c r="AM179" i="45"/>
  <c r="AJ23" i="45"/>
  <c r="U45" i="45"/>
  <c r="X106" i="45"/>
  <c r="AG187" i="45"/>
  <c r="L136" i="45"/>
  <c r="AJ37" i="45"/>
  <c r="I13" i="17"/>
  <c r="I14" i="17"/>
  <c r="R142" i="45"/>
  <c r="R95" i="45"/>
  <c r="X146" i="45"/>
  <c r="AD81" i="45"/>
  <c r="AJ12" i="45"/>
  <c r="AG33" i="45"/>
  <c r="L165" i="45"/>
  <c r="U14" i="45"/>
  <c r="AJ175" i="45"/>
  <c r="AD13" i="45"/>
  <c r="E10" i="17"/>
  <c r="R38" i="45"/>
  <c r="AA97" i="45"/>
  <c r="I10" i="45"/>
  <c r="O61" i="45"/>
  <c r="U28" i="45"/>
  <c r="I8" i="17"/>
  <c r="AA136" i="45"/>
  <c r="AG98" i="45"/>
  <c r="AA137" i="45"/>
  <c r="AM60" i="45"/>
  <c r="R30" i="45"/>
  <c r="AD168" i="45"/>
  <c r="L153" i="45"/>
  <c r="O31" i="45"/>
  <c r="O88" i="45"/>
  <c r="O127" i="45"/>
  <c r="I163" i="45"/>
  <c r="AG119" i="45"/>
  <c r="L65" i="45"/>
  <c r="AA166" i="45"/>
  <c r="U66" i="45"/>
  <c r="L20" i="45"/>
  <c r="X26" i="45"/>
  <c r="R26" i="45"/>
  <c r="I21" i="45"/>
  <c r="AD177" i="45"/>
  <c r="AM89" i="45"/>
  <c r="U153" i="45"/>
  <c r="AJ118" i="45"/>
  <c r="AD164" i="45"/>
  <c r="R62" i="45"/>
  <c r="AD89" i="45"/>
  <c r="X64" i="45"/>
  <c r="X190" i="45"/>
  <c r="O120" i="45"/>
  <c r="U17" i="45"/>
  <c r="L60" i="45"/>
  <c r="AG202" i="45"/>
  <c r="AD23" i="45"/>
  <c r="R22" i="45"/>
  <c r="O40" i="45"/>
  <c r="E5" i="17"/>
  <c r="D24" i="39"/>
  <c r="R60" i="45"/>
  <c r="R32" i="45"/>
  <c r="AG76" i="45"/>
  <c r="U33" i="45"/>
  <c r="AG67" i="45"/>
  <c r="I11" i="17"/>
  <c r="AM143" i="45"/>
  <c r="R180" i="45"/>
  <c r="L201" i="45"/>
  <c r="AD75" i="45"/>
  <c r="O104" i="45"/>
  <c r="AM31" i="45"/>
  <c r="AM34" i="45"/>
  <c r="X104" i="45"/>
  <c r="X28" i="45"/>
  <c r="AM35" i="45"/>
  <c r="L10" i="45"/>
  <c r="AG155" i="45"/>
  <c r="AJ58" i="45"/>
  <c r="AA151" i="45"/>
  <c r="I65" i="45"/>
  <c r="R23" i="45"/>
  <c r="X74" i="45"/>
  <c r="AA20" i="45"/>
  <c r="AD25" i="45"/>
  <c r="AJ18" i="45"/>
  <c r="AD46" i="45"/>
  <c r="AD24" i="45"/>
  <c r="AJ39" i="45"/>
  <c r="AD36" i="45"/>
  <c r="I89" i="45"/>
  <c r="L29" i="45"/>
  <c r="L167" i="45"/>
  <c r="AJ126" i="45"/>
  <c r="U133" i="45"/>
  <c r="AA145" i="45"/>
  <c r="AM187" i="45"/>
  <c r="AD64" i="45"/>
  <c r="O96" i="45"/>
  <c r="AJ78" i="45"/>
  <c r="AD169" i="45"/>
  <c r="AA75" i="45"/>
  <c r="AJ74" i="45"/>
  <c r="AD134" i="45"/>
  <c r="AA167" i="45"/>
  <c r="U24" i="45"/>
  <c r="O13" i="45"/>
  <c r="I37" i="45"/>
  <c r="AJ133" i="45"/>
  <c r="X152" i="45"/>
  <c r="L199" i="45"/>
  <c r="AM58" i="45"/>
  <c r="AM28" i="45"/>
  <c r="AA119" i="45"/>
  <c r="I30" i="45"/>
  <c r="X58" i="45"/>
  <c r="U95" i="45"/>
  <c r="O25" i="45"/>
  <c r="AJ88" i="45"/>
  <c r="I79" i="45"/>
  <c r="I178" i="45"/>
  <c r="AD155" i="45"/>
  <c r="I82" i="45"/>
  <c r="U117" i="45"/>
  <c r="I31" i="45"/>
  <c r="A14" i="17"/>
  <c r="AM96" i="45"/>
  <c r="AA24" i="45"/>
  <c r="U21" i="45"/>
  <c r="U103" i="45"/>
  <c r="AM170" i="45"/>
  <c r="O90" i="45"/>
  <c r="R58" i="45"/>
  <c r="AM119" i="45"/>
  <c r="L62" i="45"/>
  <c r="O142" i="45"/>
  <c r="R204" i="45"/>
  <c r="AM23" i="45"/>
  <c r="AM90" i="45"/>
  <c r="I7" i="17"/>
  <c r="I20" i="45"/>
  <c r="I15" i="17"/>
  <c r="U59" i="45"/>
  <c r="U12" i="45"/>
  <c r="X87" i="45"/>
  <c r="O134" i="45"/>
  <c r="AJ24" i="45"/>
  <c r="X62" i="45"/>
  <c r="AM64" i="45"/>
  <c r="AM107" i="45"/>
  <c r="AM205" i="45"/>
  <c r="AM125" i="45"/>
  <c r="I144" i="45"/>
  <c r="AA120" i="45"/>
  <c r="AJ65" i="45"/>
  <c r="I18" i="45"/>
  <c r="R17" i="45"/>
  <c r="O30" i="45"/>
  <c r="AD11" i="45"/>
  <c r="AJ40" i="45"/>
  <c r="AG134" i="45"/>
  <c r="I74" i="45"/>
  <c r="AM15" i="45"/>
  <c r="R103" i="45"/>
  <c r="AG118" i="45"/>
  <c r="I63" i="45"/>
  <c r="AG190" i="45"/>
  <c r="L59" i="45"/>
  <c r="O175" i="45"/>
  <c r="AG59" i="45"/>
  <c r="L151" i="45"/>
  <c r="X22" i="45"/>
  <c r="U81" i="45"/>
  <c r="I147" i="45"/>
  <c r="AG10" i="45"/>
  <c r="AG81" i="45"/>
  <c r="AD77" i="45"/>
  <c r="AM147" i="45"/>
  <c r="U58" i="45"/>
  <c r="U165" i="45"/>
  <c r="AA31" i="45"/>
  <c r="AJ104" i="45"/>
  <c r="L34" i="45"/>
  <c r="I126" i="45"/>
  <c r="AD119" i="45"/>
  <c r="X15" i="45"/>
  <c r="R147" i="45"/>
  <c r="L37" i="45"/>
  <c r="U34" i="45"/>
  <c r="I41" i="45"/>
  <c r="U204" i="45"/>
  <c r="AJ77" i="45"/>
  <c r="AM38" i="45"/>
  <c r="AD117" i="45"/>
  <c r="AD147" i="45"/>
  <c r="I17" i="45"/>
  <c r="I120" i="45"/>
  <c r="O144" i="45"/>
  <c r="I114" i="45"/>
  <c r="X9" i="45"/>
  <c r="E12" i="17"/>
  <c r="AD14" i="45"/>
  <c r="X20" i="45"/>
  <c r="C14" i="17"/>
  <c r="E13" i="17"/>
  <c r="X65" i="45"/>
  <c r="AM154" i="45"/>
  <c r="I201" i="45"/>
  <c r="AM165" i="45"/>
  <c r="AA81" i="45"/>
  <c r="AG17" i="45"/>
  <c r="AG164" i="45"/>
  <c r="L31" i="45"/>
  <c r="AM106" i="45"/>
  <c r="U61" i="45"/>
  <c r="AA187" i="45"/>
  <c r="AG14" i="45"/>
  <c r="X34" i="45"/>
  <c r="I28" i="45"/>
  <c r="R90" i="45"/>
  <c r="AA63" i="45"/>
  <c r="I97" i="45"/>
  <c r="AJ34" i="45"/>
  <c r="I16" i="45"/>
  <c r="U179" i="45"/>
  <c r="U40" i="45"/>
  <c r="U157" i="45"/>
  <c r="X137" i="45"/>
  <c r="AM120" i="45"/>
  <c r="I138" i="45"/>
  <c r="AG27" i="45"/>
  <c r="AA88" i="45"/>
  <c r="AG116" i="45"/>
  <c r="AM18" i="45"/>
  <c r="R59" i="45"/>
  <c r="AJ154" i="45"/>
  <c r="AM113" i="45"/>
  <c r="I22" i="45"/>
  <c r="AD106" i="45"/>
  <c r="AA96" i="45"/>
  <c r="AM19" i="45"/>
  <c r="AA76" i="45"/>
  <c r="AG19" i="45"/>
  <c r="X39" i="45"/>
  <c r="AG9" i="45"/>
  <c r="X78" i="45"/>
  <c r="I113" i="45"/>
  <c r="AG24" i="45"/>
  <c r="X165" i="45"/>
  <c r="X21" i="45"/>
  <c r="O11" i="45"/>
  <c r="I13" i="45"/>
  <c r="AG205" i="45"/>
  <c r="L18" i="45"/>
  <c r="L30" i="45"/>
  <c r="AM45" i="45"/>
  <c r="L12" i="45"/>
  <c r="U16" i="45"/>
  <c r="R67" i="45"/>
  <c r="U38" i="45"/>
  <c r="L114" i="45"/>
  <c r="AJ75" i="45"/>
  <c r="O42" i="45"/>
  <c r="R9" i="45"/>
  <c r="I67" i="45"/>
  <c r="AM78" i="45"/>
  <c r="L13" i="45"/>
  <c r="O132" i="45"/>
  <c r="U23" i="45"/>
  <c r="U25" i="45"/>
  <c r="AM9" i="45"/>
  <c r="O76" i="45"/>
  <c r="AJ191" i="45"/>
  <c r="AD145" i="45"/>
  <c r="O163" i="45"/>
  <c r="I46" i="45"/>
  <c r="X12" i="45"/>
  <c r="AJ67" i="45"/>
  <c r="X13" i="45"/>
  <c r="U26" i="45"/>
  <c r="E9" i="17"/>
  <c r="I146" i="45"/>
  <c r="U96" i="45"/>
  <c r="L25" i="45"/>
  <c r="AG176" i="45"/>
  <c r="I106" i="45"/>
  <c r="R88" i="45"/>
  <c r="L79" i="45"/>
  <c r="R64" i="45"/>
  <c r="O64" i="45"/>
  <c r="AA27" i="45"/>
  <c r="I14" i="45"/>
  <c r="AJ163" i="45"/>
  <c r="AM29" i="45"/>
  <c r="R10" i="45"/>
  <c r="AD67" i="45"/>
  <c r="AA98" i="45"/>
  <c r="X127" i="45"/>
  <c r="AD180" i="45"/>
  <c r="AG13" i="45"/>
  <c r="I12" i="45"/>
  <c r="R115" i="45"/>
  <c r="R28" i="45"/>
  <c r="L27" i="45"/>
  <c r="L106" i="45"/>
  <c r="I9" i="17"/>
  <c r="U107" i="45"/>
  <c r="L95" i="45"/>
  <c r="AA89" i="45"/>
  <c r="U162" i="45"/>
  <c r="AJ96" i="45"/>
  <c r="O9" i="45"/>
  <c r="AD105" i="45"/>
  <c r="AG63" i="45"/>
  <c r="O35" i="45"/>
  <c r="AA14" i="45"/>
  <c r="U9" i="45"/>
  <c r="AM20" i="45"/>
  <c r="R136" i="45"/>
  <c r="I12" i="17"/>
  <c r="X45" i="45"/>
  <c r="AG16" i="45"/>
  <c r="AJ30" i="45"/>
  <c r="I5" i="17"/>
  <c r="E7" i="17"/>
  <c r="I6" i="17"/>
  <c r="O37" i="45"/>
  <c r="O23" i="45"/>
  <c r="X11" i="45"/>
  <c r="I26" i="45"/>
  <c r="U32" i="45"/>
  <c r="L33" i="45"/>
  <c r="O39" i="45"/>
  <c r="U188" i="45"/>
  <c r="AJ38" i="45"/>
  <c r="AD62" i="45"/>
  <c r="L127" i="45"/>
  <c r="AJ117" i="45"/>
  <c r="AA10" i="45"/>
  <c r="O59" i="45"/>
  <c r="AA18" i="45"/>
  <c r="U31" i="45"/>
  <c r="I27" i="45"/>
  <c r="AD41" i="45"/>
  <c r="I107" i="45"/>
  <c r="O151" i="45"/>
  <c r="AD30" i="45"/>
  <c r="AJ113" i="45"/>
  <c r="AM135" i="45"/>
  <c r="I75" i="45"/>
  <c r="O26" i="45"/>
  <c r="AG20" i="45"/>
  <c r="I125" i="45"/>
  <c r="AJ63" i="45"/>
  <c r="L134" i="45"/>
  <c r="AD178" i="45"/>
  <c r="R37" i="45"/>
  <c r="AA105" i="45"/>
  <c r="O33" i="45"/>
  <c r="R14" i="45"/>
  <c r="O80" i="45"/>
  <c r="X17" i="45"/>
  <c r="AM27" i="45"/>
  <c r="AD18" i="45"/>
  <c r="X42" i="45"/>
  <c r="AM17" i="45"/>
  <c r="U177" i="45"/>
  <c r="AM127" i="45"/>
  <c r="AJ26" i="45"/>
  <c r="AD20" i="45"/>
  <c r="X188" i="45"/>
  <c r="R78" i="45"/>
  <c r="AM74" i="45"/>
  <c r="AG45" i="45"/>
  <c r="AA28" i="45"/>
  <c r="O17" i="45"/>
  <c r="R15" i="45"/>
  <c r="I80" i="45"/>
  <c r="U77" i="45"/>
  <c r="AM115" i="45"/>
  <c r="X90" i="45"/>
  <c r="AJ62" i="45"/>
  <c r="AA40" i="45"/>
  <c r="R107" i="45"/>
  <c r="AJ25" i="45"/>
  <c r="O125" i="45"/>
  <c r="AM37" i="45"/>
  <c r="AJ31" i="45"/>
  <c r="I38" i="45"/>
  <c r="AJ59" i="45"/>
  <c r="R87" i="45"/>
  <c r="AM16" i="45"/>
  <c r="D21" i="39"/>
  <c r="E6" i="17"/>
  <c r="AD17" i="45"/>
  <c r="AJ29" i="45"/>
  <c r="X24" i="45"/>
  <c r="AM24" i="45"/>
  <c r="AA142" i="45"/>
  <c r="D14" i="17"/>
  <c r="AM22" i="45"/>
  <c r="E14" i="17"/>
</calcChain>
</file>

<file path=xl/comments1.xml><?xml version="1.0" encoding="utf-8"?>
<comments xmlns="http://schemas.openxmlformats.org/spreadsheetml/2006/main">
  <authors>
    <author>Schmiedchen, Eric</author>
  </authors>
  <commentList>
    <comment ref="A17" authorId="0" shapeId="0">
      <text>
        <r>
          <rPr>
            <b/>
            <sz val="9"/>
            <color indexed="81"/>
            <rFont val="Tahoma"/>
            <family val="2"/>
          </rPr>
          <t>Schmiedchen, Eric:</t>
        </r>
        <r>
          <rPr>
            <sz val="9"/>
            <color indexed="81"/>
            <rFont val="Tahoma"/>
            <family val="2"/>
          </rPr>
          <t xml:space="preserve">
Check page number.</t>
        </r>
      </text>
    </comment>
  </commentList>
</comments>
</file>

<file path=xl/comments2.xml><?xml version="1.0" encoding="utf-8"?>
<comments xmlns="http://schemas.openxmlformats.org/spreadsheetml/2006/main">
  <authors>
    <author>Berger, Martin</author>
  </authors>
  <commentList>
    <comment ref="A3" authorId="0" shapeId="0">
      <text>
        <r>
          <rPr>
            <b/>
            <sz val="9"/>
            <color indexed="81"/>
            <rFont val="Tahoma"/>
            <family val="2"/>
          </rPr>
          <t>Berger, Martin:</t>
        </r>
        <r>
          <rPr>
            <sz val="9"/>
            <color indexed="81"/>
            <rFont val="Tahoma"/>
            <family val="2"/>
          </rPr>
          <t xml:space="preserve">
sufficient if headline says property, plant and equipment (PPE)?</t>
        </r>
      </text>
    </comment>
  </commentList>
</comments>
</file>

<file path=xl/sharedStrings.xml><?xml version="1.0" encoding="utf-8"?>
<sst xmlns="http://schemas.openxmlformats.org/spreadsheetml/2006/main" count="1921" uniqueCount="552">
  <si>
    <t>EBIT</t>
  </si>
  <si>
    <t>Clean EBIT</t>
  </si>
  <si>
    <t>EPS in EUR</t>
  </si>
  <si>
    <t>EBIT Corporate and Other</t>
  </si>
  <si>
    <t>Consolidation</t>
  </si>
  <si>
    <t>EBIT Group</t>
  </si>
  <si>
    <t>thereof: Personnel and restructuring</t>
  </si>
  <si>
    <t>Net income</t>
  </si>
  <si>
    <t>Cash flow from operating activities</t>
  </si>
  <si>
    <t>Net debt</t>
  </si>
  <si>
    <t>Segment sales</t>
  </si>
  <si>
    <t>Special items</t>
  </si>
  <si>
    <t>Crude oil and NGL production in mn bbl</t>
  </si>
  <si>
    <t>Natural gas production in bcf</t>
  </si>
  <si>
    <t>Average Brent price in USD/bbl</t>
  </si>
  <si>
    <t>Average realized crude price in USD/bbl</t>
  </si>
  <si>
    <t>Exploration expenditure in EUR mn</t>
  </si>
  <si>
    <t>Exploration expenses in EUR mn</t>
  </si>
  <si>
    <t>Average Urals price in USD/bbl</t>
  </si>
  <si>
    <t>thereof petrochemicals</t>
  </si>
  <si>
    <t>Refining input in mn t</t>
  </si>
  <si>
    <t>Total refined product sales in mn t</t>
  </si>
  <si>
    <t>thereof petrochemicals in mn t</t>
  </si>
  <si>
    <t>Financial highlights</t>
  </si>
  <si>
    <t>Sales revenues</t>
  </si>
  <si>
    <t>Other operating income</t>
  </si>
  <si>
    <t>Exploration expenses</t>
  </si>
  <si>
    <t>Other operating expenses</t>
  </si>
  <si>
    <t>Dividend income</t>
  </si>
  <si>
    <t>Other financial income and expenses</t>
  </si>
  <si>
    <t>Net financial result</t>
  </si>
  <si>
    <t>Profit from ordinary activities</t>
  </si>
  <si>
    <t>Net income for the period</t>
  </si>
  <si>
    <t>thereof attributable to stockholders of the parent</t>
  </si>
  <si>
    <t>thereof attributable to hybrid capital owners</t>
  </si>
  <si>
    <t>thereof attributable to non-controlling interests</t>
  </si>
  <si>
    <t>thereof Borealis</t>
  </si>
  <si>
    <t>Condensed statement of changes in equity</t>
  </si>
  <si>
    <t>Corporate and Other</t>
  </si>
  <si>
    <t>OMV Group</t>
  </si>
  <si>
    <t>Sales to external customers</t>
  </si>
  <si>
    <t>Intersegmental sales</t>
  </si>
  <si>
    <t>EBIT segment total</t>
  </si>
  <si>
    <t>Consolidation: Elimination of intersegmental profits</t>
  </si>
  <si>
    <t>OMV Group EBIT</t>
  </si>
  <si>
    <t>Total</t>
  </si>
  <si>
    <t>Average EUR-USD FX-rate</t>
  </si>
  <si>
    <t>Average EUR-RON FX-rate</t>
  </si>
  <si>
    <t>Average USD-RON FX-rate</t>
  </si>
  <si>
    <t>Average EUR-TRY FX-rate</t>
  </si>
  <si>
    <t>Average USD-TRY FX-rate</t>
  </si>
  <si>
    <t>NWE refining margin in USD/bbl</t>
  </si>
  <si>
    <t>Exchange differences from translation of foreign operations</t>
  </si>
  <si>
    <t>Gains/(losses) on available-for-sale financial assets</t>
  </si>
  <si>
    <t>Gains/(losses) on hedges</t>
  </si>
  <si>
    <t>Other comprehensive income for the period, net of tax</t>
  </si>
  <si>
    <t>Total comprehensive income for the period</t>
  </si>
  <si>
    <t>Assets</t>
  </si>
  <si>
    <t>Intangible assets</t>
  </si>
  <si>
    <t>Property, plant and equipment</t>
  </si>
  <si>
    <t>Other financial assets</t>
  </si>
  <si>
    <t>Other assets</t>
  </si>
  <si>
    <t>Non-current assets</t>
  </si>
  <si>
    <t>Deferred taxes</t>
  </si>
  <si>
    <t>Inventories</t>
  </si>
  <si>
    <t>Trade receivables</t>
  </si>
  <si>
    <t>Income tax receivables</t>
  </si>
  <si>
    <t>Cash and cash equivalents</t>
  </si>
  <si>
    <t>Current assets</t>
  </si>
  <si>
    <t>Total assets</t>
  </si>
  <si>
    <t>Equity and liabilities</t>
  </si>
  <si>
    <t>Capital stock</t>
  </si>
  <si>
    <t>Hybrid capital</t>
  </si>
  <si>
    <t>Reserves</t>
  </si>
  <si>
    <t>OMV equity of the parent</t>
  </si>
  <si>
    <t>Non-controlling interests</t>
  </si>
  <si>
    <t>Equity</t>
  </si>
  <si>
    <t>Provisions for pensions and similar obligations</t>
  </si>
  <si>
    <t>Bonds</t>
  </si>
  <si>
    <t>Interest-bearing debts</t>
  </si>
  <si>
    <t>Provisions for decommissioning and restoration obligations</t>
  </si>
  <si>
    <t>Other provisions</t>
  </si>
  <si>
    <t>Other financial liabilities</t>
  </si>
  <si>
    <t>Other liabilities</t>
  </si>
  <si>
    <t>Non-current liabilities</t>
  </si>
  <si>
    <t>Trade payables</t>
  </si>
  <si>
    <t>Provisions for income taxes</t>
  </si>
  <si>
    <t>Liabilities associated with assets held for sale</t>
  </si>
  <si>
    <t>Current liabilities</t>
  </si>
  <si>
    <t>Total equity and liabilities</t>
  </si>
  <si>
    <t>Losses/(gains) on the disposal of non-current assets</t>
  </si>
  <si>
    <t>Net change in long-term provisions</t>
  </si>
  <si>
    <t>Other adjustments</t>
  </si>
  <si>
    <t>Sources of funds</t>
  </si>
  <si>
    <t>(Increase)/decrease in inventories</t>
  </si>
  <si>
    <t>(Increase)/decrease in receivables</t>
  </si>
  <si>
    <t>(Decrease)/increase in liabilities</t>
  </si>
  <si>
    <t>(Decrease)/increase in short-term provisions</t>
  </si>
  <si>
    <t>Investments</t>
  </si>
  <si>
    <t>Intangible assets and property, plant and equipment</t>
  </si>
  <si>
    <t>Disposals</t>
  </si>
  <si>
    <t>Proceeds from sale of non-current assets</t>
  </si>
  <si>
    <t>(Decrease)/increase in long-term borrowings</t>
  </si>
  <si>
    <t>(Decrease)/increase in short-term borrowings</t>
  </si>
  <si>
    <t>Dividends paid</t>
  </si>
  <si>
    <t>Effect of exchange rate changes on cash and cash equivalents</t>
  </si>
  <si>
    <t>Net (decrease)/increase in cash and cash equivalents</t>
  </si>
  <si>
    <t>Cash and cash equivalents at beginning of period</t>
  </si>
  <si>
    <t>Cash and cash equivalents at end of period</t>
  </si>
  <si>
    <t>Capital reserves</t>
  </si>
  <si>
    <t>Revenue reserves</t>
  </si>
  <si>
    <t>Treasury shares</t>
  </si>
  <si>
    <t>Tax effects on transactions with owners</t>
  </si>
  <si>
    <t>Increase/(decrease) in non-controlling interests</t>
  </si>
  <si>
    <t>Segment reporting</t>
  </si>
  <si>
    <t>Employees</t>
  </si>
  <si>
    <t>Cash flow per share in EUR</t>
  </si>
  <si>
    <t>Statement of comprehensive income</t>
  </si>
  <si>
    <t>Cash flows</t>
  </si>
  <si>
    <t>Economic environment</t>
  </si>
  <si>
    <t>Index</t>
  </si>
  <si>
    <t>(Click on the link below for desired data tab)</t>
  </si>
  <si>
    <t>Remeasurement gains/(losses) on defined benefit plans</t>
  </si>
  <si>
    <t>Group tax rate in %</t>
  </si>
  <si>
    <t>–</t>
  </si>
  <si>
    <t>Gearing in %</t>
  </si>
  <si>
    <t>Other comprehensive income for the period</t>
  </si>
  <si>
    <t>Hybrid 
capital</t>
  </si>
  <si>
    <t>OMV equity 
of the parent</t>
  </si>
  <si>
    <t>Share 
capital</t>
  </si>
  <si>
    <t>Total 
equity</t>
  </si>
  <si>
    <t>Ist</t>
  </si>
  <si>
    <t>MA</t>
  </si>
  <si>
    <t>mn EUR</t>
  </si>
  <si>
    <t>Δ%</t>
  </si>
  <si>
    <t>EBITD</t>
  </si>
  <si>
    <t>CCS effects: Inventory holding gains/(losses)</t>
  </si>
  <si>
    <t>Dividend distribution and hybrid coupon</t>
  </si>
  <si>
    <t>Share-based payments</t>
  </si>
  <si>
    <t>Disposal of treasury shares</t>
  </si>
  <si>
    <t>Capital expenditure</t>
  </si>
  <si>
    <t>400013</t>
  </si>
  <si>
    <t>C_400013_CCS</t>
  </si>
  <si>
    <t>400024</t>
  </si>
  <si>
    <t>Gen400027</t>
  </si>
  <si>
    <t>Capital increase</t>
  </si>
  <si>
    <t>Acquisitions of subsidiaries and businesses net of cash acquired</t>
  </si>
  <si>
    <t>OMV Group profit from ordinary activities</t>
  </si>
  <si>
    <t>Net electrical output in TWh</t>
  </si>
  <si>
    <t>Gas transportation volumes sold entry/exit in TWh</t>
  </si>
  <si>
    <t>Total hydrocarbon production in kboe/d</t>
  </si>
  <si>
    <t>Proceeds from the sale of subsidiaries and businesses, net of cash disposed</t>
  </si>
  <si>
    <t>Segment and Group profit</t>
  </si>
  <si>
    <t>Assets held for sale</t>
  </si>
  <si>
    <t>Total of items that will not be reclassified ("recycled") subsequently to the income statement</t>
  </si>
  <si>
    <t>Interest expenses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</si>
  <si>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</si>
  <si>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</si>
  <si>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</si>
  <si>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</si>
  <si>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</si>
  <si>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</si>
  <si>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</si>
  <si>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</si>
  <si>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Financial instruments</t>
  </si>
  <si>
    <t>Income Statement</t>
  </si>
  <si>
    <t>Natural gas production in bcm</t>
  </si>
  <si>
    <t>Total of items that may be reclassified ("recycled") subsequently to the income statement</t>
  </si>
  <si>
    <t>ROFA in %</t>
  </si>
  <si>
    <t>ROACE in %</t>
  </si>
  <si>
    <t>Equity-accounted investments</t>
  </si>
  <si>
    <t>Previously reported</t>
  </si>
  <si>
    <t>Share of other comprehensive income of equity-accounted investments</t>
  </si>
  <si>
    <t>Income statement (unaudited)</t>
  </si>
  <si>
    <t>Income taxes relating to items that will not be reclassified ("recycled") subsequently to the income statement</t>
  </si>
  <si>
    <t>Income taxes relating to items that may be reclassified ("recycled") subsequently to the income statement</t>
  </si>
  <si>
    <t>Total income taxes relating to components of other comprehensive income</t>
  </si>
  <si>
    <t>Total sales (not consolidated)</t>
  </si>
  <si>
    <t>thereof EBIT OMV Petrom group</t>
  </si>
  <si>
    <t>Thereof OMV Petrom group (included above)</t>
  </si>
  <si>
    <t>-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</si>
  <si>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</si>
  <si>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</si>
  <si>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</si>
  <si>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</si>
  <si>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</si>
  <si>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EBIT Downstream</t>
  </si>
  <si>
    <t>Upstream</t>
  </si>
  <si>
    <t>Downstream</t>
  </si>
  <si>
    <t>Sales</t>
  </si>
  <si>
    <t>thereof Downstream Oil</t>
  </si>
  <si>
    <t>thereof Downstream Gas</t>
  </si>
  <si>
    <t>Downstream Gas</t>
  </si>
  <si>
    <t>Downstream Oil</t>
  </si>
  <si>
    <t>thereof EBIT OMV Petrol Ofisi</t>
  </si>
  <si>
    <t>Thereof OMV Petrol Ofisi (included above)</t>
  </si>
  <si>
    <t>Thereof OMV Group excluding OMV Petrom group and OMV Petrol Ofisi (included above)</t>
  </si>
  <si>
    <t>Average realized gas price in EUR/1,000 cbm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</si>
  <si>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</si>
  <si>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</si>
  <si>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</si>
  <si>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</si>
  <si>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</si>
  <si>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</si>
  <si>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</si>
  <si>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</si>
  <si>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</si>
  <si>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</si>
  <si>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Clean EBITD</t>
  </si>
  <si>
    <t>thereof OMV Turkey natural gas sales volumes in TWh</t>
  </si>
  <si>
    <t>thereof OMV Trading and EconGas natural gas sales volumes in TWh</t>
  </si>
  <si>
    <t>thereof intrasegmental elimination Downstream</t>
  </si>
  <si>
    <t>DS_ELIM</t>
  </si>
  <si>
    <t>thereof EBIT Downstream Oil</t>
  </si>
  <si>
    <t>thereof EBIT Downstream Gas</t>
  </si>
  <si>
    <t>thereof OMV Petrom natural gas sales volumes in TWh</t>
  </si>
  <si>
    <t>thereof Gas transportation Austria</t>
  </si>
  <si>
    <t>Average realized gas price in USD/1,000 cf</t>
  </si>
  <si>
    <t>Depreciation, amortization and impairments including write-ups</t>
  </si>
  <si>
    <t xml:space="preserve">Segment reporting </t>
  </si>
  <si>
    <t>Hydrocarbon production by country in kboe/d</t>
  </si>
  <si>
    <t>Sources: Reuters/Platts, Central European Gas Hub (CEGH), OPCOM, Net Connect Germany (NCG), Turkish Electricity Transmission Company (TEIAS)</t>
  </si>
  <si>
    <t>Borealis</t>
  </si>
  <si>
    <t>GENOL Gesellschaft m.b.H. &amp; Co</t>
  </si>
  <si>
    <t>Erdöl-Lagergesellschaft m.b.H.</t>
  </si>
  <si>
    <t>Sales and other income</t>
  </si>
  <si>
    <t>Purchases</t>
  </si>
  <si>
    <t>Loans receivable</t>
  </si>
  <si>
    <t>Prepayments received</t>
  </si>
  <si>
    <t>Enerco Enerji Sanayi ve Ticaret A.Ş.</t>
  </si>
  <si>
    <t>Significant transactions with related parties</t>
  </si>
  <si>
    <t>Filling stations</t>
  </si>
  <si>
    <t>thereof retail sales volumes in mn t</t>
  </si>
  <si>
    <t>OMV</t>
  </si>
  <si>
    <t>Production</t>
  </si>
  <si>
    <t>Upstream clean</t>
  </si>
  <si>
    <t xml:space="preserve">     thereof OMV classic</t>
  </si>
  <si>
    <t xml:space="preserve">     thereof OMV Petrom</t>
  </si>
  <si>
    <t>Downstream clean</t>
  </si>
  <si>
    <t xml:space="preserve">     thereof OMV POAS</t>
  </si>
  <si>
    <t xml:space="preserve">thereof Downstream Gas </t>
  </si>
  <si>
    <t>Corporate &amp; Other</t>
  </si>
  <si>
    <t>OMV Petrom clean CCS</t>
  </si>
  <si>
    <t xml:space="preserve">Clean CCS EBIT </t>
  </si>
  <si>
    <t>CCS effect</t>
  </si>
  <si>
    <t>Reported EBIT</t>
  </si>
  <si>
    <t>Net interest</t>
  </si>
  <si>
    <t>At-equity income</t>
  </si>
  <si>
    <t>Other financial</t>
  </si>
  <si>
    <t>Clean CCS</t>
  </si>
  <si>
    <t>Income before taxes</t>
  </si>
  <si>
    <t>Tax</t>
  </si>
  <si>
    <t>Minorities</t>
  </si>
  <si>
    <t>Hybrid</t>
  </si>
  <si>
    <t>Reported</t>
  </si>
  <si>
    <t>Clean CCS net income attributable to stockholders</t>
  </si>
  <si>
    <t>Clean tax rate</t>
  </si>
  <si>
    <t>Reported tax rate</t>
  </si>
  <si>
    <t>double check!</t>
  </si>
  <si>
    <t>fill in manually</t>
  </si>
  <si>
    <t>Basic Earnings Per Share in EUR</t>
  </si>
  <si>
    <t>Diluted Earnings Per Share in EUR</t>
  </si>
  <si>
    <t>EBIT_OMV_Group</t>
  </si>
  <si>
    <t>Clean_CCS_EBIT_OMV_Group</t>
  </si>
  <si>
    <t>Net income/net loss after minorities and hybrid capital owners OMV Group</t>
  </si>
  <si>
    <t>Clean_CCS_Net_income_loss_after_Minorities_and_hybrid_capital_owners_OMV_Group</t>
  </si>
  <si>
    <t>EPS_OMV_Group</t>
  </si>
  <si>
    <t>Clean_CCS_EPS_OMV_Group</t>
  </si>
  <si>
    <t>Cash_flow_from_operating_activities_OMV_Group</t>
  </si>
  <si>
    <t>EUR_MN</t>
  </si>
  <si>
    <t xml:space="preserve">EUR </t>
  </si>
  <si>
    <t>0_group:IR_KPI</t>
  </si>
  <si>
    <t>Statement of financial position</t>
  </si>
  <si>
    <t>Summary of the impact of IAS 8 restatement on the previously reported figures</t>
  </si>
  <si>
    <t>Restated figures</t>
  </si>
  <si>
    <t>∆</t>
  </si>
  <si>
    <t>9m/15</t>
  </si>
  <si>
    <t>Q3/15</t>
  </si>
  <si>
    <t>6m/15</t>
  </si>
  <si>
    <t>Q2/15</t>
  </si>
  <si>
    <t>Q1/15</t>
  </si>
  <si>
    <t>Q4/14</t>
  </si>
  <si>
    <t>9m/14</t>
  </si>
  <si>
    <t>Q3/14</t>
  </si>
  <si>
    <t>6m/14</t>
  </si>
  <si>
    <t>Q2/14</t>
  </si>
  <si>
    <r>
      <t xml:space="preserve">Upstream </t>
    </r>
    <r>
      <rPr>
        <vertAlign val="superscript"/>
        <sz val="10"/>
        <rFont val="Arial"/>
        <family val="2"/>
      </rPr>
      <t>1</t>
    </r>
  </si>
  <si>
    <t>in EUR mn</t>
  </si>
  <si>
    <t>Clean CCS EBITD</t>
  </si>
  <si>
    <r>
      <t>2</t>
    </r>
    <r>
      <rPr>
        <sz val="11"/>
        <rFont val="Calibri"/>
        <family val="2"/>
        <scheme val="minor"/>
      </rPr>
      <t xml:space="preserve"> Clean CCS figures exclude special items and inventory holding gains/losses (CCS effects) resulting from the fuels refineries and OMV Petrol Ofisi</t>
    </r>
  </si>
  <si>
    <r>
      <t>1</t>
    </r>
    <r>
      <rPr>
        <sz val="11"/>
        <rFont val="Calibri"/>
        <family val="2"/>
        <scheme val="minor"/>
      </rPr>
      <t xml:space="preserve"> Before intersegmental profit elimination shown in the line “Consolidation”</t>
    </r>
  </si>
  <si>
    <r>
      <t xml:space="preserve">EBIT Upstream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</si>
  <si>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</si>
  <si>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</si>
  <si>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</si>
  <si>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1"/>
        <rFont val="Calibri"/>
        <family val="2"/>
        <scheme val="minor"/>
      </rPr>
      <t>Current cost of supply (CCS): Clean CCS figures exclude special items and inventory holding gains/losses (CCS effects) resulting from the fuels refineries and OMV Petrol Ofisi</t>
    </r>
  </si>
  <si>
    <r>
      <t>5</t>
    </r>
    <r>
      <rPr>
        <sz val="11"/>
        <rFont val="Calibri"/>
        <family val="2"/>
        <scheme val="minor"/>
      </rPr>
      <t xml:space="preserve"> After deducting net income attributable to hybrid capital owners and net income attributable to non-controlling interests</t>
    </r>
  </si>
  <si>
    <r>
      <t>4</t>
    </r>
    <r>
      <rPr>
        <sz val="11"/>
        <rFont val="Calibri"/>
        <family val="2"/>
        <scheme val="minor"/>
      </rPr>
      <t xml:space="preserve"> Adjusted for special items. Clean CCS figures exclude inventory holding gains/losses (CCS effects) resulting from the fuels refineries and OMV Petrol Ofisi</t>
    </r>
  </si>
  <si>
    <r>
      <t>3</t>
    </r>
    <r>
      <rPr>
        <sz val="11"/>
        <rFont val="Calibri"/>
        <family val="2"/>
        <scheme val="minor"/>
      </rPr>
      <t xml:space="preserve"> Special items are exceptional, non-recurring items and include unrealized gain/losses on commodity derivatives (starting with Q2/15), which are added back or deducted from EBIT. For more details please refer to Business Segments</t>
    </r>
  </si>
  <si>
    <r>
      <t>2</t>
    </r>
    <r>
      <rPr>
        <sz val="11"/>
        <rFont val="Calibri"/>
        <family val="2"/>
        <scheme val="minor"/>
      </rPr>
      <t xml:space="preserve"> Before intersegmental profit elimination shown in the line “Consolidation”</t>
    </r>
  </si>
  <si>
    <r>
      <t>1</t>
    </r>
    <r>
      <rPr>
        <sz val="11"/>
        <rFont val="Calibri"/>
        <family val="2"/>
        <scheme val="minor"/>
      </rPr>
      <t xml:space="preserve"> Sales excluding petroleum excise tax</t>
    </r>
  </si>
  <si>
    <t>ROE in %</t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</si>
  <si>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</si>
  <si>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</si>
  <si>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</si>
  <si>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</si>
  <si>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4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</si>
  <si>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</si>
  <si>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</si>
  <si>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</si>
  <si>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Downstream </t>
    </r>
    <r>
      <rPr>
        <vertAlign val="superscript"/>
        <sz val="10"/>
        <rFont val="Arial"/>
        <family val="2"/>
      </rPr>
      <t>4</t>
    </r>
  </si>
  <si>
    <r>
      <t xml:space="preserve">Clean EBIT Upstream </t>
    </r>
    <r>
      <rPr>
        <vertAlign val="superscript"/>
        <sz val="10"/>
        <rFont val="Arial"/>
        <family val="2"/>
      </rPr>
      <t>2, 4</t>
    </r>
  </si>
  <si>
    <t xml:space="preserve">               Other</t>
  </si>
  <si>
    <t xml:space="preserve">               Asset disposal</t>
  </si>
  <si>
    <t xml:space="preserve">               Unscheduled depreciation</t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</si>
  <si>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</si>
  <si>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EBIT Upstream </t>
    </r>
    <r>
      <rPr>
        <vertAlign val="superscript"/>
        <sz val="10"/>
        <rFont val="Arial"/>
        <family val="2"/>
      </rPr>
      <t>2</t>
    </r>
  </si>
  <si>
    <r>
      <t xml:space="preserve">Sales </t>
    </r>
    <r>
      <rPr>
        <vertAlign val="superscript"/>
        <sz val="10"/>
        <rFont val="Arial"/>
        <family val="2"/>
      </rPr>
      <t>1</t>
    </r>
  </si>
  <si>
    <t>C_400040_CCS</t>
  </si>
  <si>
    <t>KONZERN_2015</t>
  </si>
  <si>
    <t>TOT_IR_CONS</t>
  </si>
  <si>
    <t>CUO</t>
  </si>
  <si>
    <t>GAS</t>
  </si>
  <si>
    <t>RUM_2015</t>
  </si>
  <si>
    <t>DOWNSTRAM_2015</t>
  </si>
  <si>
    <t>UPSTRAM</t>
  </si>
  <si>
    <t>400040</t>
  </si>
  <si>
    <t>Gen400037</t>
  </si>
  <si>
    <t>KONZERN</t>
  </si>
  <si>
    <t>CAPEX</t>
  </si>
  <si>
    <t>RUM</t>
  </si>
  <si>
    <t>DOWNSTREAM</t>
  </si>
  <si>
    <t>319000</t>
  </si>
  <si>
    <t>318000</t>
  </si>
  <si>
    <t>309000</t>
  </si>
  <si>
    <t>EBIT_SEG</t>
  </si>
  <si>
    <t>Gen301800_BU</t>
  </si>
  <si>
    <t>Gen301800_GRP</t>
  </si>
  <si>
    <t>Gen301800_ELIM</t>
  </si>
  <si>
    <t>C_EBIT_CCS</t>
  </si>
  <si>
    <t>GAS_PET</t>
  </si>
  <si>
    <t>EI_CHANGES</t>
  </si>
  <si>
    <t>Clean EBITD (CCS)</t>
  </si>
  <si>
    <t>OGG_BOGL</t>
  </si>
  <si>
    <t>C_EBIT</t>
  </si>
  <si>
    <t>RAFPCH</t>
  </si>
  <si>
    <t>RUM_exPET_exPO_2015</t>
  </si>
  <si>
    <t>INV_EFF</t>
  </si>
  <si>
    <t>RU_PO_2015</t>
  </si>
  <si>
    <t>RUM_PET_2015</t>
  </si>
  <si>
    <t>M240</t>
  </si>
  <si>
    <t>%</t>
  </si>
  <si>
    <t>Gen470101</t>
  </si>
  <si>
    <t>Gen400047</t>
  </si>
  <si>
    <t>rep_400010</t>
  </si>
  <si>
    <t>EUR</t>
  </si>
  <si>
    <t>Gen490044</t>
  </si>
  <si>
    <t>Gen500060</t>
  </si>
  <si>
    <t>C_490042_CCS</t>
  </si>
  <si>
    <t>490042</t>
  </si>
  <si>
    <t>C_329000_CCS</t>
  </si>
  <si>
    <t>329000</t>
  </si>
  <si>
    <t>328000</t>
  </si>
  <si>
    <t>POAS_GROUP_2015</t>
  </si>
  <si>
    <t>PETROM_GROUP_2015</t>
  </si>
  <si>
    <t>EI_SONST_IR_QB</t>
  </si>
  <si>
    <t>EI_VERK</t>
  </si>
  <si>
    <t>EI_TWA</t>
  </si>
  <si>
    <t>EI_PERS</t>
  </si>
  <si>
    <t>2.Q.</t>
  </si>
  <si>
    <t>per 2.Q.</t>
  </si>
  <si>
    <t>3.Q.</t>
  </si>
  <si>
    <t>per 3.Q.</t>
  </si>
  <si>
    <t>4.Q.</t>
  </si>
  <si>
    <t>per 4.Q.</t>
  </si>
  <si>
    <t>per 1.Q.</t>
  </si>
  <si>
    <t>ACTpreRST1415</t>
  </si>
  <si>
    <t>&lt;-- in case refresh is needed</t>
  </si>
  <si>
    <t>turn on Genesis here</t>
  </si>
  <si>
    <t>&lt;sup&gt;1&lt;/sup&gt; Special items are exceptional, non-recurring items and include unrealized gain/losses on commodity derivatives (starting with Q2/15), which are added back or deducted from EBIT. For more details please refer to Business Segments</t>
  </si>
  <si>
    <t>&lt;sup&gt;2&lt;/sup&gt;After deducting net income attributable to hybrid capital owners and net income attributable to non-controlling interests</t>
  </si>
  <si>
    <t>&lt;sup&gt;3&lt;/sup&gt;Adjusted for special items. Clean CCS figures exclude inventory holding gains/losses (CCS effects) resulting from the fuels refineries and OMV Petrol Ofisi</t>
  </si>
  <si>
    <t>Summary of the impact of IAS 8 restatement on the previously reported figures (unaudited)</t>
  </si>
  <si>
    <t>Earnings Per Share (EPS) in EUR</t>
  </si>
  <si>
    <t>Gearing ratio in %</t>
  </si>
  <si>
    <t>Free cash flow</t>
  </si>
  <si>
    <t>Income tax</t>
  </si>
  <si>
    <t>Taxes on income and profit</t>
  </si>
  <si>
    <t>Effective tax rate</t>
  </si>
  <si>
    <t>3.527,81</t>
  </si>
  <si>
    <t>15,74</t>
  </si>
  <si>
    <t>313,42</t>
  </si>
  <si>
    <t>-5,51</t>
  </si>
  <si>
    <t>-146,75</t>
  </si>
  <si>
    <t>3.704,71</t>
  </si>
  <si>
    <t>18.499,90</t>
  </si>
  <si>
    <t>298,45</t>
  </si>
  <si>
    <t>-17,44</t>
  </si>
  <si>
    <t>-1.213,34</t>
  </si>
  <si>
    <t>18.714,86</t>
  </si>
  <si>
    <t>22.027,71</t>
  </si>
  <si>
    <t>314,19</t>
  </si>
  <si>
    <t>1.460,71</t>
  </si>
  <si>
    <t>-22,95</t>
  </si>
  <si>
    <t>22.419,57</t>
  </si>
  <si>
    <t>Consolidation: Elimination of inter-segmental profits</t>
  </si>
  <si>
    <t>Investments, loans and other financial assets</t>
  </si>
  <si>
    <t>Utilization rate refineries in %</t>
  </si>
  <si>
    <t>Natural gas sales volumes in TWh</t>
  </si>
  <si>
    <t>Natural gas trading volumes in TWh</t>
  </si>
  <si>
    <t>Average storage volume sold in TWh</t>
  </si>
  <si>
    <t>Profit before tax</t>
  </si>
  <si>
    <t>OMV Group profit before tax</t>
  </si>
  <si>
    <t>Current taxes</t>
  </si>
  <si>
    <t>Cash flow from investing activities</t>
  </si>
  <si>
    <t>Cash flow from financing activities</t>
  </si>
  <si>
    <t>not availble</t>
  </si>
  <si>
    <t>KPI Excel line 698</t>
  </si>
  <si>
    <t>KPI Excel line 690</t>
  </si>
  <si>
    <t>KPI Excel line 701</t>
  </si>
  <si>
    <t>January 1, 2016</t>
  </si>
  <si>
    <t>Statement of financial position (unaudited)</t>
  </si>
  <si>
    <t>Free_Cash_flow_OMV_Group</t>
  </si>
  <si>
    <t>Free_Cash_flow_after_div_OMV_Group</t>
  </si>
  <si>
    <t>Operating Result</t>
  </si>
  <si>
    <t>Operating Result Downstream</t>
  </si>
  <si>
    <t>Operating Result Corporate and Other</t>
  </si>
  <si>
    <t>Clean Operating Result</t>
  </si>
  <si>
    <t>Operating Result Group</t>
  </si>
  <si>
    <t>Operating Result segment total</t>
  </si>
  <si>
    <t>thereof Operating Result OMV Petrol Ofisi</t>
  </si>
  <si>
    <t>Operating Result Upstream</t>
  </si>
  <si>
    <t>thereof Operating Result Downstream Gas</t>
  </si>
  <si>
    <t>thereof Operating Result Downstream Oil</t>
  </si>
  <si>
    <t>OMV Group Operating Result</t>
  </si>
  <si>
    <t>.</t>
  </si>
  <si>
    <t>13.1.0</t>
  </si>
  <si>
    <t>Net income from equity-accounted investments</t>
  </si>
  <si>
    <t>Total revenues and other income</t>
  </si>
  <si>
    <t>Purchases (net of inventory variation)</t>
  </si>
  <si>
    <t>Production and operating expenses</t>
  </si>
  <si>
    <t>Production and similar taxes</t>
  </si>
  <si>
    <t>Depreciation, amortization and impairment charges</t>
  </si>
  <si>
    <t>Selling, distribution and administrative expenses</t>
  </si>
  <si>
    <t>Trans Austria Gasleitung GmbH</t>
  </si>
  <si>
    <t>Cash and cash equivalents presented in the consolidated statement of financial position</t>
  </si>
  <si>
    <t>Free cash flow after dividends</t>
  </si>
  <si>
    <t>Increase in non-controlling interest</t>
  </si>
  <si>
    <t>Decrease in non-controlling interest</t>
  </si>
  <si>
    <t>Free cash flow before dividends</t>
  </si>
  <si>
    <t>in EUR mn (unless otherwise stated)</t>
  </si>
  <si>
    <t>EUR mn</t>
  </si>
  <si>
    <t>Performance Overview</t>
  </si>
  <si>
    <t>Clean Group tax rate in %</t>
  </si>
  <si>
    <t>Q1/16</t>
  </si>
  <si>
    <t>Q2/16</t>
  </si>
  <si>
    <t>Q3/16</t>
  </si>
  <si>
    <t>Q4/16</t>
  </si>
  <si>
    <t>Q1/17</t>
  </si>
  <si>
    <t>Q2/17</t>
  </si>
  <si>
    <t>Mar. 31, 2017</t>
  </si>
  <si>
    <t>6m/17</t>
  </si>
  <si>
    <t>6m/16</t>
  </si>
  <si>
    <t>Related Party Balances</t>
  </si>
  <si>
    <t>Jun. 30, 2017</t>
  </si>
  <si>
    <t>Dec. 31, 2016</t>
  </si>
  <si>
    <t>OMV (U.K.) Limited</t>
  </si>
  <si>
    <t>OMV Petrol Ofisi</t>
  </si>
  <si>
    <t>Consideration received</t>
  </si>
  <si>
    <t xml:space="preserve">less cash disposed of </t>
  </si>
  <si>
    <t>Net cash inflow</t>
  </si>
  <si>
    <t>Mar. 31, 2016</t>
  </si>
  <si>
    <t>Jun. 30, 2016</t>
  </si>
  <si>
    <t>Sep. 30, 2016</t>
  </si>
  <si>
    <t>thereof Level 1</t>
  </si>
  <si>
    <t>thereof Level 2</t>
  </si>
  <si>
    <t>9m/16</t>
  </si>
  <si>
    <t>3m/17</t>
  </si>
  <si>
    <t>3m/16</t>
  </si>
  <si>
    <t>December 31, 2016</t>
  </si>
  <si>
    <t>Total hydrocarbon sales volumes in mn boe</t>
  </si>
  <si>
    <r>
      <t xml:space="preserve">Sales </t>
    </r>
    <r>
      <rPr>
        <vertAlign val="superscript"/>
        <sz val="11"/>
        <rFont val="Arial"/>
        <family val="2"/>
      </rPr>
      <t>1</t>
    </r>
  </si>
  <si>
    <r>
      <t>Average realized gas price in EUR/MWh</t>
    </r>
    <r>
      <rPr>
        <vertAlign val="superscript"/>
        <sz val="11"/>
        <rFont val="Arial"/>
        <family val="2"/>
      </rPr>
      <t xml:space="preserve"> 2</t>
    </r>
  </si>
  <si>
    <r>
      <t xml:space="preserve">Clean CCS Operating Result </t>
    </r>
    <r>
      <rPr>
        <vertAlign val="superscript"/>
        <sz val="11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</si>
  <si>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1"/>
        <rFont val="Arial"/>
        <family val="2"/>
      </rPr>
      <t>1</t>
    </r>
  </si>
  <si>
    <r>
      <t>OMV indicator refining margin in USD/bbl</t>
    </r>
    <r>
      <rPr>
        <vertAlign val="superscript"/>
        <sz val="11"/>
        <rFont val="Arial"/>
        <family val="2"/>
      </rPr>
      <t xml:space="preserve"> 2</t>
    </r>
  </si>
  <si>
    <r>
      <t>Assets</t>
    </r>
    <r>
      <rPr>
        <b/>
        <vertAlign val="superscript"/>
        <sz val="11"/>
        <color rgb="FF0086CD"/>
        <rFont val="Arial"/>
        <family val="2"/>
      </rPr>
      <t xml:space="preserve"> 1</t>
    </r>
  </si>
  <si>
    <t>Income Tax</t>
  </si>
  <si>
    <t>Net cash inflows</t>
  </si>
  <si>
    <t>Key Performance Indicators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</si>
  <si>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</si>
  <si>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t>Free cash flow after dividends incl. Non-controlling interest changes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</si>
  <si>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Sales excluding petroleum excise tax</t>
    </r>
  </si>
  <si>
    <t>Note: Figures in this and the following tables may not add up due to rounding differences.</t>
  </si>
  <si>
    <r>
      <t>2</t>
    </r>
    <r>
      <rPr>
        <sz val="9"/>
        <rFont val="Arial"/>
        <family val="2"/>
      </rPr>
      <t xml:space="preserve"> The average realized gas price is converted to MWh using a standardized calorific value across the portfolio</t>
    </r>
  </si>
  <si>
    <r>
      <t>Production cost in USD/boe</t>
    </r>
    <r>
      <rPr>
        <vertAlign val="superscript"/>
        <sz val="11"/>
        <rFont val="Arial"/>
        <family val="2"/>
      </rPr>
      <t xml:space="preserve"> 1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</si>
  <si>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</si>
  <si>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Calculated based on West European Contract Prices (WECP)</t>
    </r>
  </si>
  <si>
    <t>Statement of comprehensive income (condensed, unaudited)</t>
  </si>
  <si>
    <t>Condensed statement of changes in equity (condensed, unaudited)</t>
  </si>
  <si>
    <t>January 1, 2017</t>
  </si>
  <si>
    <t>12m/16</t>
  </si>
  <si>
    <t>Summarized statement of cash flows (condensed, unaudited)</t>
  </si>
  <si>
    <r>
      <t xml:space="preserve">Other reserves </t>
    </r>
    <r>
      <rPr>
        <b/>
        <vertAlign val="superscript"/>
        <sz val="11"/>
        <rFont val="Arial"/>
        <family val="2"/>
      </rPr>
      <t>1</t>
    </r>
  </si>
  <si>
    <r>
      <t>1</t>
    </r>
    <r>
      <rPr>
        <sz val="9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</si>
  <si>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Segment assets consist of intangible assets and property, plant and equipment</t>
    </r>
  </si>
  <si>
    <r>
      <t>1</t>
    </r>
    <r>
      <rPr>
        <sz val="9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</si>
  <si>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t>CAPEX, Operating Result before depreciation, Clean CCS Operating result before depreciation</t>
  </si>
  <si>
    <r>
      <t xml:space="preserve">Propylene net margin in EUR/t </t>
    </r>
    <r>
      <rPr>
        <vertAlign val="superscript"/>
        <sz val="11"/>
        <rFont val="Arial"/>
        <family val="2"/>
      </rPr>
      <t>3</t>
    </r>
  </si>
  <si>
    <r>
      <t xml:space="preserve">Ethylene/propylene net margin in EUR/t </t>
    </r>
    <r>
      <rPr>
        <vertAlign val="superscript"/>
        <sz val="11"/>
        <rFont val="Arial"/>
        <family val="2"/>
      </rPr>
      <t>3</t>
    </r>
  </si>
  <si>
    <r>
      <t xml:space="preserve">Ethylene net margin in EUR/t </t>
    </r>
    <r>
      <rPr>
        <vertAlign val="superscript"/>
        <sz val="11"/>
        <rFont val="Arial"/>
        <family val="2"/>
      </rPr>
      <t>3</t>
    </r>
  </si>
  <si>
    <t>Sep. 30. 2016</t>
  </si>
  <si>
    <t xml:space="preserve"> Unscheduled depreciation</t>
  </si>
  <si>
    <t xml:space="preserve"> Asset disposal</t>
  </si>
  <si>
    <t xml:space="preserve"> Other</t>
  </si>
  <si>
    <t>thereof cash disclosed within Assets held for sale</t>
  </si>
  <si>
    <r>
      <t xml:space="preserve">879 </t>
    </r>
    <r>
      <rPr>
        <b/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</si>
  <si>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Excluding cash inflows generated from related divestments, asset transfers and Net Working Capital effects since the economic effective date of the transaction, June 30, 2016</t>
    </r>
  </si>
  <si>
    <t>Net cash inflows from disposal of OMV (U.K.) Limited in Q1/17 
and OMV Petrol Ofisi in Q2/17</t>
  </si>
  <si>
    <r>
      <t xml:space="preserve">Clean CCS Operating Result </t>
    </r>
    <r>
      <rPr>
        <b/>
        <vertAlign val="superscript"/>
        <sz val="11"/>
        <color theme="1"/>
        <rFont val="Arial"/>
        <family val="2"/>
      </rPr>
      <t>2</t>
    </r>
  </si>
  <si>
    <r>
      <t xml:space="preserve">thereof clean Operating Result OMV Petrol Ofisi </t>
    </r>
    <r>
      <rPr>
        <i/>
        <vertAlign val="superscript"/>
        <sz val="11"/>
        <rFont val="Arial"/>
        <family val="2"/>
      </rPr>
      <t>2</t>
    </r>
  </si>
  <si>
    <r>
      <t xml:space="preserve">Clean Operating Result Upstream </t>
    </r>
    <r>
      <rPr>
        <vertAlign val="superscript"/>
        <sz val="11"/>
        <rFont val="Arial"/>
        <family val="2"/>
      </rPr>
      <t>2</t>
    </r>
  </si>
  <si>
    <r>
      <t xml:space="preserve">Clean CCS Operating Result Downstream </t>
    </r>
    <r>
      <rPr>
        <vertAlign val="superscript"/>
        <sz val="11"/>
        <rFont val="Arial"/>
        <family val="2"/>
      </rPr>
      <t>2</t>
    </r>
  </si>
  <si>
    <r>
      <t xml:space="preserve">Clean Operating Result Corporate and Other </t>
    </r>
    <r>
      <rPr>
        <vertAlign val="superscript"/>
        <sz val="11"/>
        <rFont val="Arial"/>
        <family val="2"/>
      </rPr>
      <t>2</t>
    </r>
  </si>
  <si>
    <r>
      <t xml:space="preserve">Clean CCS Net Income </t>
    </r>
    <r>
      <rPr>
        <b/>
        <vertAlign val="superscript"/>
        <sz val="11"/>
        <rFont val="Arial"/>
        <family val="2"/>
      </rPr>
      <t>2</t>
    </r>
  </si>
  <si>
    <r>
      <t xml:space="preserve">Clean CCS net income attributable to stockholders </t>
    </r>
    <r>
      <rPr>
        <b/>
        <vertAlign val="superscript"/>
        <sz val="11"/>
        <color theme="1"/>
        <rFont val="Arial"/>
        <family val="2"/>
      </rPr>
      <t>2, 3</t>
    </r>
  </si>
  <si>
    <r>
      <t xml:space="preserve">Clean CCS EPS in EUR </t>
    </r>
    <r>
      <rPr>
        <vertAlign val="superscript"/>
        <sz val="11"/>
        <rFont val="Arial"/>
        <family val="2"/>
      </rPr>
      <t>2</t>
    </r>
  </si>
  <si>
    <r>
      <t xml:space="preserve">Net income attributable to stockholders </t>
    </r>
    <r>
      <rPr>
        <vertAlign val="superscript"/>
        <sz val="11"/>
        <rFont val="Arial"/>
        <family val="2"/>
      </rPr>
      <t>3</t>
    </r>
  </si>
  <si>
    <r>
      <t xml:space="preserve">Clean CCS ROACE in % 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</si>
  <si>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After deducting net income attributable to hybrid capital owners and net income attributable to non-controlling interests</t>
    </r>
  </si>
  <si>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Special items are exceptional, non-recurring items; starting with Q1/17 the special items also include temporary effects from commodity hedging for material Downstream and Upstream hedging transactions (in order to mitigate possible income statement volatility)</t>
    </r>
  </si>
  <si>
    <r>
      <t xml:space="preserve">OMV indicator refining margin East in USD/bbl </t>
    </r>
    <r>
      <rPr>
        <vertAlign val="superscript"/>
        <sz val="11"/>
        <rFont val="Arial"/>
        <family val="2"/>
      </rPr>
      <t>2</t>
    </r>
  </si>
  <si>
    <r>
      <t xml:space="preserve">OMV indicator refining margin West in USD/bbl </t>
    </r>
    <r>
      <rPr>
        <vertAlign val="superscript"/>
        <sz val="11"/>
        <rFont val="Arial"/>
        <family val="2"/>
      </rPr>
      <t>2</t>
    </r>
  </si>
  <si>
    <t>Dividend Per Share (DPS) in EUR</t>
  </si>
  <si>
    <r>
      <t xml:space="preserve">Clean CCS Operating Result </t>
    </r>
    <r>
      <rPr>
        <vertAlign val="superscript"/>
        <sz val="11"/>
        <color theme="1"/>
        <rFont val="Arial"/>
        <family val="2"/>
      </rPr>
      <t>2</t>
    </r>
  </si>
  <si>
    <r>
      <t xml:space="preserve">Special items </t>
    </r>
    <r>
      <rPr>
        <vertAlign val="superscript"/>
        <sz val="11"/>
        <color theme="1"/>
        <rFont val="Arial"/>
        <family val="2"/>
      </rPr>
      <t>4</t>
    </r>
  </si>
  <si>
    <t>Kurdistan Region of Iraq</t>
  </si>
  <si>
    <t>September 30, 2017</t>
  </si>
  <si>
    <t>9m/17</t>
  </si>
  <si>
    <t>Clean Consolidation: Elimination of inter-segmental profits</t>
  </si>
  <si>
    <t>Q3/17</t>
  </si>
  <si>
    <t>Sep. 30, 2017</t>
  </si>
  <si>
    <t>Operating Result before Depreciation and amortization, impairments and write-ups</t>
  </si>
  <si>
    <r>
      <t xml:space="preserve">Clean CCS Operating Result before Depreciation and amortization, impairments and write-ups </t>
    </r>
    <r>
      <rPr>
        <b/>
        <vertAlign val="superscript"/>
        <sz val="11"/>
        <color rgb="FF0086CD"/>
        <rFont val="Arial"/>
        <family val="2"/>
      </rPr>
      <t>1</t>
    </r>
  </si>
  <si>
    <r>
      <t xml:space="preserve">Clean CCS Operating Result before Depreciation and amortization, impairments and write-ups </t>
    </r>
    <r>
      <rPr>
        <vertAlign val="superscript"/>
        <sz val="11"/>
        <rFont val="Arial"/>
        <family val="2"/>
      </rPr>
      <t>1</t>
    </r>
  </si>
  <si>
    <t>Clean Operating Result before Depreciation and amortization, impairments and write-ups</t>
  </si>
  <si>
    <t>thereof Operating Result OMV Petrom</t>
  </si>
  <si>
    <r>
      <t xml:space="preserve">thereof clean CCS Operating Result OMV Petrom </t>
    </r>
    <r>
      <rPr>
        <i/>
        <vertAlign val="superscript"/>
        <sz val="11"/>
        <rFont val="Arial"/>
        <family val="2"/>
      </rPr>
      <t>2</t>
    </r>
  </si>
  <si>
    <t>Thereof OMV Petrom (included above)</t>
  </si>
  <si>
    <t>Thereof OMV Group excluding OMV Petrom and OMV Petrol Ofisi (included above)</t>
  </si>
  <si>
    <r>
      <t>1</t>
    </r>
    <r>
      <rPr>
        <sz val="9"/>
        <rFont val="Arial"/>
        <family val="2"/>
      </rPr>
      <t xml:space="preserve"> OMV aligned the production cost definition with its industry peers; since Q1/17, administrative expenses and selling and distribution costs are excluded; for comparison only, 2016 figures presented in the table were re-calculated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</si>
  <si>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Adjusted for special items; clean CCS figures exclude fuels’ inventory holding gains/losses (CCS effects) resulting from the fuels refineries and OMV Petrol Ofisi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</si>
</sst>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8">
    <numFmt numFmtId="6" formatCode="&quot;£&quot;#,##0_);[Red]\(&quot;£&quot;#,##0\)"/>
    <numFmt numFmtId="7" formatCode="&quot;£&quot;#,##0.00_);\(&quot;£&quot;#,##0.00\)"/>
    <numFmt numFmtId="8" formatCode="&quot;£&quot;#,##0.00_);[Red]\(&quot;£&quot;#,##0.00\)"/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£&quot;#,##0;[Red]\-&quot;£&quot;#,##0"/>
    <numFmt numFmtId="166" formatCode="&quot;£&quot;#,##0.00;\-&quot;£&quot;#,##0.00"/>
    <numFmt numFmtId="167" formatCode="&quot;£&quot;#,##0.00;[Red]\-&quot;£&quot;#,##0.00"/>
    <numFmt numFmtId="168" formatCode="_-&quot;£&quot;* #,##0_-;\-&quot;£&quot;* #,##0_-;_-&quot;£&quot;* &quot;-&quot;_-;_-@_-"/>
    <numFmt numFmtId="169" formatCode="_-&quot;£&quot;* #,##0.00_-;\-&quot;£&quot;* #,##0.00_-;_-&quot;£&quot;* &quot;-&quot;??_-;_-@_-"/>
    <numFmt numFmtId="170" formatCode="0.0"/>
    <numFmt numFmtId="171" formatCode="#,##0.000"/>
    <numFmt numFmtId="172" formatCode="#,##0.0"/>
    <numFmt numFmtId="173" formatCode="0.000"/>
    <numFmt numFmtId="174" formatCode="#,##0.0\ ;\-\ #,##0.0\ "/>
    <numFmt numFmtId="175" formatCode="m\-d\-yy"/>
    <numFmt numFmtId="176" formatCode="#,##0.0_);\(#,##0.0\)"/>
    <numFmt numFmtId="177" formatCode="0.00\ "/>
    <numFmt numFmtId="178" formatCode="0.0%_);\(0.0%\);\-_%_)"/>
    <numFmt numFmtId="179" formatCode="_(* #,##0.0_);_(* \(#,##0.0\);_(* &quot;-&quot;?_);_(@_)"/>
    <numFmt numFmtId="180" formatCode="dd/mm/yy_)"/>
    <numFmt numFmtId="181" formatCode="_-* #,##0.0_-;\-* #,##0.0_-;_-* &quot;-&quot;??_-;_-@_-"/>
    <numFmt numFmtId="182" formatCode="#,##0.00&quot; $&quot;;\-#,##0.00&quot; $&quot;"/>
    <numFmt numFmtId="183" formatCode="#,##0.0;\(#,##0.0\)"/>
    <numFmt numFmtId="184" formatCode="#,##0;\(#,##0\)"/>
    <numFmt numFmtId="185" formatCode="mmm\-yyyy"/>
    <numFmt numFmtId="186" formatCode="0_%_);\(0\)_%;0_%_);@_%_)"/>
    <numFmt numFmtId="187" formatCode="General_)"/>
    <numFmt numFmtId="188" formatCode="#,##0.0\x_);\(#,##0.0\x\)"/>
    <numFmt numFmtId="189" formatCode="#,##0.00_ ;\-#,##0.00\ "/>
    <numFmt numFmtId="190" formatCode="_(* #,##0_);_(* \(#,##0\);_(* &quot;-&quot;??_);_(@_)"/>
    <numFmt numFmtId="191" formatCode="_-* #,##0_-;\-* #,##0_-;_-* &quot;-&quot;??_-;_-@_-"/>
    <numFmt numFmtId="192" formatCode="_-* #,##0.00\ _l_e_i_-;\-* #,##0.00\ _l_e_i_-;_-* &quot;-&quot;??\ _l_e_i_-;_-@_-"/>
    <numFmt numFmtId="193" formatCode="_(* #,##0,,_);_(* \(#,##0,,\);_(* &quot;-&quot;_);_(@_)"/>
    <numFmt numFmtId="194" formatCode="_(* #,##0,,,_);_(* \(#,##0,,,\);_(* &quot;-&quot;_);_(@_)"/>
    <numFmt numFmtId="195" formatCode="_([$€-2]* #,##0.00_);_([$€-2]* \(#,##0.00\);_([$€-2]* &quot;-&quot;??_)"/>
    <numFmt numFmtId="196" formatCode="_-* #,##0\ _l_e_i_-;\-* #,##0\ _l_e_i_-;_-* &quot;-&quot;\ _l_e_i_-;_-@_-"/>
    <numFmt numFmtId="197" formatCode="_-* #,##0.00\ [$€]_-;\-* #,##0.00\ [$€]_-;_-* &quot;-&quot;??\ [$€]_-;_-@_-"/>
    <numFmt numFmtId="198" formatCode="#,##0;\-#,##0;&quot;-&quot;"/>
    <numFmt numFmtId="199" formatCode="#,##0.00;\-#,##0.00;&quot;-&quot;"/>
    <numFmt numFmtId="200" formatCode="#,##0%;\-#,##0%;&quot;- &quot;"/>
    <numFmt numFmtId="201" formatCode="#,##0.0%;\-#,##0.0%;&quot;- &quot;"/>
    <numFmt numFmtId="202" formatCode="#,##0.00%;\-#,##0.00%;&quot;- &quot;"/>
    <numFmt numFmtId="203" formatCode="#,##0.0;\-#,##0.0;&quot;-&quot;"/>
    <numFmt numFmtId="204" formatCode="0%;\(0%\)"/>
  </numFmts>
  <fonts count="244"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sz val="8"/>
      <color indexed="32"/>
      <name val="Arial"/>
      <family val="2"/>
    </font>
    <font>
      <sz val="10"/>
      <name val="Univers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name val="Courier"/>
      <family val="3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u/>
      <sz val="10"/>
      <color rgb="FF003366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1"/>
      <color indexed="20"/>
      <name val="Calibri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17"/>
      <name val="Univers LT OMV 55 Roman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Univers LT OMV 55 Roman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1"/>
      <color indexed="9"/>
      <name val="Univers LT OMV 55 Roman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Univers"/>
    </font>
    <font>
      <b/>
      <sz val="10"/>
      <color indexed="9"/>
      <name val="Arial"/>
      <family val="2"/>
    </font>
    <font>
      <i/>
      <sz val="10"/>
      <name val="Arial"/>
      <family val="2"/>
    </font>
    <font>
      <b/>
      <sz val="10"/>
      <color theme="0"/>
      <name val="Arial"/>
      <family val="2"/>
    </font>
    <font>
      <b/>
      <i/>
      <sz val="10"/>
      <color theme="0"/>
      <name val="Arial"/>
      <family val="2"/>
    </font>
    <font>
      <sz val="10"/>
      <color theme="0"/>
      <name val="Arial"/>
      <family val="2"/>
    </font>
    <font>
      <sz val="10"/>
      <color rgb="FFFFFF00"/>
      <name val="Arial"/>
      <family val="2"/>
    </font>
    <font>
      <b/>
      <sz val="12"/>
      <name val="Arial"/>
      <family val="2"/>
    </font>
    <font>
      <b/>
      <sz val="10"/>
      <color rgb="FFFFFF00"/>
      <name val="Arial"/>
      <family val="2"/>
    </font>
    <font>
      <sz val="10"/>
      <name val="Arial"/>
      <family val="2"/>
    </font>
    <font>
      <sz val="10"/>
      <color theme="4"/>
      <name val="Arial"/>
      <family val="2"/>
    </font>
    <font>
      <sz val="11"/>
      <color theme="4"/>
      <name val="Calibri"/>
      <family val="2"/>
      <scheme val="minor"/>
    </font>
    <font>
      <sz val="11"/>
      <color rgb="FFC00000"/>
      <name val="Calibri"/>
      <family val="2"/>
      <scheme val="minor"/>
    </font>
    <font>
      <b/>
      <vertAlign val="superscript"/>
      <sz val="10"/>
      <name val="Arial"/>
      <family val="2"/>
    </font>
    <font>
      <sz val="10"/>
      <color rgb="FFFF0000"/>
      <name val="Arial Black"/>
      <family val="2"/>
    </font>
    <font>
      <sz val="8"/>
      <color rgb="FF0000FF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1"/>
      <color theme="1"/>
      <name val="Univers LT OMV 55 Roman"/>
      <family val="2"/>
    </font>
    <font>
      <sz val="12"/>
      <color theme="1"/>
      <name val="Calibri"/>
      <family val="2"/>
    </font>
    <font>
      <sz val="10"/>
      <name val="Calibri"/>
      <family val="2"/>
    </font>
    <font>
      <b/>
      <sz val="12"/>
      <name val="Univers"/>
    </font>
    <font>
      <sz val="12"/>
      <name val="Univers"/>
    </font>
    <font>
      <b/>
      <sz val="10"/>
      <color indexed="19"/>
      <name val="Arial"/>
      <family val="2"/>
    </font>
    <font>
      <sz val="10"/>
      <color indexed="8"/>
      <name val="Univers"/>
    </font>
    <font>
      <sz val="10"/>
      <color indexed="10"/>
      <name val="Arial"/>
      <family val="2"/>
    </font>
    <font>
      <sz val="8"/>
      <name val="Tahoma"/>
      <family val="2"/>
    </font>
    <font>
      <sz val="8"/>
      <color indexed="10"/>
      <name val="Tahoma"/>
      <family val="2"/>
    </font>
    <font>
      <b/>
      <sz val="11"/>
      <color indexed="12"/>
      <name val="Arial"/>
      <family val="2"/>
    </font>
    <font>
      <sz val="12"/>
      <name val="Times New Roman"/>
      <family val="1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Tahoma"/>
      <family val="2"/>
      <charset val="238"/>
    </font>
    <font>
      <sz val="10"/>
      <name val="Helv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38"/>
    </font>
    <font>
      <sz val="10"/>
      <name val="Times New Roman"/>
      <family val="1"/>
      <charset val="238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38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14"/>
      <name val="Arial"/>
      <family val="2"/>
    </font>
    <font>
      <sz val="12"/>
      <name val="宋体"/>
      <charset val="134"/>
    </font>
    <font>
      <sz val="10"/>
      <name val="MS Sans Serif"/>
      <family val="2"/>
    </font>
    <font>
      <sz val="8"/>
      <name val="Times New Roman"/>
      <family val="1"/>
    </font>
    <font>
      <sz val="10"/>
      <name val="MS Serif"/>
      <family val="1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0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theme="0"/>
      <name val="Arial"/>
      <family val="2"/>
      <charset val="238"/>
    </font>
    <font>
      <i/>
      <sz val="10"/>
      <color rgb="FF7F7F7F"/>
      <name val="Arial"/>
      <family val="2"/>
      <charset val="238"/>
    </font>
    <font>
      <sz val="10"/>
      <color rgb="FF00610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rgb="FFFA7D00"/>
      <name val="Arial"/>
      <family val="2"/>
      <charset val="238"/>
    </font>
    <font>
      <sz val="10"/>
      <color rgb="FF9C6500"/>
      <name val="Arial"/>
      <family val="2"/>
      <charset val="238"/>
    </font>
    <font>
      <b/>
      <sz val="10"/>
      <color rgb="FF3F3F3F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Book Antiqua"/>
      <family val="1"/>
    </font>
    <font>
      <sz val="8"/>
      <name val="Tahoma"/>
      <family val="2"/>
      <charset val="204"/>
    </font>
    <font>
      <u/>
      <sz val="12"/>
      <color indexed="12"/>
      <name val="Arial"/>
      <family val="2"/>
      <charset val="204"/>
    </font>
    <font>
      <sz val="12"/>
      <name val="Times New Roman"/>
      <family val="1"/>
      <charset val="238"/>
    </font>
    <font>
      <sz val="14"/>
      <name val="Times New Roman"/>
      <family val="1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86CD"/>
      <name val="Calibri"/>
      <family val="2"/>
      <scheme val="minor"/>
    </font>
    <font>
      <b/>
      <sz val="11"/>
      <color rgb="FF0086CD"/>
      <name val="Calibri"/>
      <family val="2"/>
    </font>
    <font>
      <sz val="9"/>
      <name val="Calibri"/>
      <family val="2"/>
      <scheme val="minor"/>
    </font>
    <font>
      <strike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9"/>
      <color theme="4"/>
      <name val="Arial"/>
      <family val="2"/>
    </font>
    <font>
      <b/>
      <sz val="9"/>
      <color theme="4"/>
      <name val="Arial"/>
      <family val="2"/>
    </font>
    <font>
      <b/>
      <u/>
      <sz val="12"/>
      <color rgb="FF003366"/>
      <name val="Arial"/>
      <family val="2"/>
    </font>
    <font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1"/>
      <name val="Calibri"/>
      <family val="2"/>
      <scheme val="minor"/>
    </font>
    <font>
      <b/>
      <vertAlign val="superscript"/>
      <sz val="11"/>
      <color rgb="FF0086CD"/>
      <name val="Arial"/>
      <family val="2"/>
    </font>
    <font>
      <b/>
      <u/>
      <sz val="11"/>
      <color rgb="FF003366"/>
      <name val="Arial"/>
      <family val="2"/>
    </font>
    <font>
      <i/>
      <sz val="11"/>
      <name val="Arial"/>
      <family val="2"/>
    </font>
    <font>
      <i/>
      <vertAlign val="superscript"/>
      <sz val="11"/>
      <name val="Arial"/>
      <family val="2"/>
    </font>
    <font>
      <vertAlign val="superscript"/>
      <sz val="9"/>
      <name val="Arial"/>
      <family val="2"/>
    </font>
    <font>
      <b/>
      <vertAlign val="superscript"/>
      <sz val="11"/>
      <name val="Arial"/>
      <family val="2"/>
    </font>
    <font>
      <b/>
      <i/>
      <sz val="11"/>
      <color theme="1"/>
      <name val="Arial"/>
      <family val="2"/>
    </font>
    <font>
      <b/>
      <u/>
      <sz val="10"/>
      <color theme="3"/>
      <name val="Arial"/>
      <family val="2"/>
    </font>
    <font>
      <sz val="11"/>
      <color theme="1"/>
      <name val="Arial"/>
      <family val="2"/>
    </font>
    <font>
      <strike/>
      <sz val="11"/>
      <name val="Arial"/>
      <family val="2"/>
    </font>
    <font>
      <vertAlign val="superscript"/>
      <sz val="11"/>
      <color theme="1"/>
      <name val="Arial"/>
      <family val="2"/>
    </font>
  </fonts>
  <fills count="1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3"/>
        <bgColor indexed="64"/>
      </patternFill>
    </fill>
    <fill>
      <patternFill patternType="gray0625">
        <fgColor indexed="12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FFC00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rgb="FF66CC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</patternFill>
    </fill>
    <fill>
      <patternFill patternType="solid">
        <fgColor indexed="22"/>
        <bgColor indexed="2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0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12"/>
      </patternFill>
    </fill>
    <fill>
      <patternFill patternType="solid">
        <fgColor theme="4" tint="0.79998168889431442"/>
        <bgColor indexed="64"/>
      </patternFill>
    </fill>
    <fill>
      <patternFill patternType="lightUp">
        <bgColor theme="4" tint="0.79998168889431442"/>
      </patternFill>
    </fill>
    <fill>
      <patternFill patternType="lightUp"/>
    </fill>
    <fill>
      <patternFill patternType="lightUp">
        <bgColor theme="4" tint="0.79995117038483843"/>
      </patternFill>
    </fill>
    <fill>
      <patternFill patternType="lightUp">
        <bgColor theme="0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/>
      <bottom style="thin">
        <color rgb="FF969696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rgb="FF0086CD"/>
      </bottom>
      <diagonal/>
    </border>
    <border>
      <left/>
      <right/>
      <top style="medium">
        <color rgb="FF0086CD"/>
      </top>
      <bottom/>
      <diagonal/>
    </border>
    <border>
      <left/>
      <right/>
      <top/>
      <bottom style="medium">
        <color rgb="FF0087CD"/>
      </bottom>
      <diagonal/>
    </border>
  </borders>
  <cellStyleXfs count="7159">
    <xf numFmtId="0" fontId="0" fillId="0" borderId="0" applyNumberFormat="0" applyFill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49" fontId="8" fillId="0" borderId="3" applyNumberFormat="0" applyFill="0" applyAlignment="0" applyProtection="0"/>
    <xf numFmtId="0" fontId="8" fillId="0" borderId="0" applyNumberFormat="0" applyFill="0" applyAlignment="0" applyProtection="0"/>
    <xf numFmtId="49" fontId="8" fillId="0" borderId="3" applyNumberFormat="0" applyFill="0" applyAlignment="0" applyProtection="0"/>
    <xf numFmtId="49" fontId="8" fillId="0" borderId="0" applyNumberFormat="0" applyFill="0" applyAlignment="0" applyProtection="0"/>
    <xf numFmtId="0" fontId="10" fillId="0" borderId="4" applyNumberFormat="0" applyFont="0" applyFill="0" applyAlignment="0" applyProtection="0"/>
    <xf numFmtId="0" fontId="10" fillId="0" borderId="5" applyNumberFormat="0" applyFill="0" applyAlignment="0" applyProtection="0"/>
    <xf numFmtId="0" fontId="10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10" fillId="0" borderId="0"/>
    <xf numFmtId="0" fontId="10" fillId="0" borderId="0"/>
    <xf numFmtId="172" fontId="47" fillId="0" borderId="0"/>
    <xf numFmtId="172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187" fontId="47" fillId="0" borderId="0"/>
    <xf numFmtId="187" fontId="47" fillId="0" borderId="0"/>
    <xf numFmtId="0" fontId="47" fillId="0" borderId="0"/>
    <xf numFmtId="175" fontId="8" fillId="8" borderId="16">
      <alignment horizontal="center" vertical="center"/>
    </xf>
    <xf numFmtId="176" fontId="16" fillId="0" borderId="0" applyNumberFormat="0" applyFill="0" applyBorder="0" applyAlignment="0" applyProtection="0"/>
    <xf numFmtId="177" fontId="17" fillId="9" borderId="17" applyNumberFormat="0" applyBorder="0" applyAlignment="0">
      <alignment horizontal="centerContinuous" vertical="center"/>
      <protection hidden="1"/>
    </xf>
    <xf numFmtId="1" fontId="18" fillId="10" borderId="18" applyNumberFormat="0" applyBorder="0" applyAlignment="0">
      <alignment horizontal="center" vertical="top" wrapText="1"/>
      <protection hidden="1"/>
    </xf>
    <xf numFmtId="178" fontId="19" fillId="0" borderId="0" applyNumberFormat="0" applyFill="0" applyBorder="0" applyAlignment="0" applyProtection="0"/>
    <xf numFmtId="176" fontId="20" fillId="11" borderId="0" applyNumberFormat="0" applyFont="0" applyBorder="0" applyAlignment="0" applyProtection="0"/>
    <xf numFmtId="37" fontId="21" fillId="6" borderId="1" applyProtection="0">
      <alignment horizontal="center"/>
    </xf>
    <xf numFmtId="170" fontId="22" fillId="0" borderId="0" applyBorder="0">
      <alignment horizontal="right"/>
    </xf>
    <xf numFmtId="170" fontId="22" fillId="0" borderId="19" applyAlignment="0">
      <alignment horizontal="right"/>
    </xf>
    <xf numFmtId="43" fontId="10" fillId="0" borderId="0" applyFont="0" applyFill="0" applyBorder="0" applyAlignment="0" applyProtection="0"/>
    <xf numFmtId="41" fontId="15" fillId="0" borderId="0" applyProtection="0"/>
    <xf numFmtId="179" fontId="15" fillId="0" borderId="0" applyProtection="0"/>
    <xf numFmtId="43" fontId="15" fillId="0" borderId="0" applyProtection="0"/>
    <xf numFmtId="41" fontId="19" fillId="0" borderId="0" applyProtection="0"/>
    <xf numFmtId="179" fontId="19" fillId="0" borderId="0" applyProtection="0"/>
    <xf numFmtId="43" fontId="19" fillId="0" borderId="0" applyProtection="0"/>
    <xf numFmtId="0" fontId="23" fillId="0" borderId="0"/>
    <xf numFmtId="180" fontId="16" fillId="0" borderId="0" applyFont="0" applyFill="0" applyBorder="0" applyAlignment="0" applyProtection="0"/>
    <xf numFmtId="176" fontId="24" fillId="0" borderId="0" applyNumberFormat="0" applyFill="0" applyBorder="0" applyAlignment="0" applyProtection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26" fillId="13" borderId="1"/>
    <xf numFmtId="38" fontId="7" fillId="14" borderId="0" applyNumberFormat="0" applyBorder="0" applyAlignment="0" applyProtection="0"/>
    <xf numFmtId="176" fontId="27" fillId="2" borderId="0" applyNumberFormat="0" applyFont="0" applyBorder="0" applyAlignment="0" applyProtection="0"/>
    <xf numFmtId="0" fontId="28" fillId="15" borderId="0" applyNumberFormat="0" applyFont="0" applyBorder="0" applyAlignment="0"/>
    <xf numFmtId="0" fontId="29" fillId="0" borderId="0" applyNumberFormat="0" applyFill="0" applyBorder="0" applyAlignment="0" applyProtection="0"/>
    <xf numFmtId="0" fontId="30" fillId="10" borderId="0" applyNumberFormat="0" applyBorder="0" applyAlignment="0">
      <protection hidden="1"/>
    </xf>
    <xf numFmtId="182" fontId="10" fillId="0" borderId="0">
      <protection locked="0"/>
    </xf>
    <xf numFmtId="182" fontId="10" fillId="0" borderId="0">
      <protection locked="0"/>
    </xf>
    <xf numFmtId="0" fontId="19" fillId="0" borderId="21" applyNumberFormat="0" applyFill="0" applyAlignment="0" applyProtection="0"/>
    <xf numFmtId="10" fontId="7" fillId="16" borderId="1" applyNumberFormat="0" applyBorder="0" applyAlignment="0" applyProtection="0"/>
    <xf numFmtId="183" fontId="31" fillId="8" borderId="22"/>
    <xf numFmtId="184" fontId="32" fillId="0" borderId="0"/>
    <xf numFmtId="185" fontId="7" fillId="16" borderId="0">
      <alignment horizontal="center"/>
    </xf>
    <xf numFmtId="6" fontId="33" fillId="0" borderId="0" applyProtection="0"/>
    <xf numFmtId="7" fontId="33" fillId="0" borderId="0" applyProtection="0"/>
    <xf numFmtId="8" fontId="33" fillId="0" borderId="0" applyProtection="0"/>
    <xf numFmtId="6" fontId="33" fillId="0" borderId="0" applyProtection="0"/>
    <xf numFmtId="7" fontId="33" fillId="0" borderId="0" applyProtection="0"/>
    <xf numFmtId="8" fontId="33" fillId="0" borderId="0" applyProtection="0"/>
    <xf numFmtId="37" fontId="20" fillId="0" borderId="0" applyFont="0" applyFill="0" applyBorder="0" applyAlignment="0" applyProtection="0"/>
    <xf numFmtId="37" fontId="34" fillId="0" borderId="0"/>
    <xf numFmtId="0" fontId="35" fillId="0" borderId="0"/>
    <xf numFmtId="183" fontId="36" fillId="0" borderId="0"/>
    <xf numFmtId="176" fontId="27" fillId="0" borderId="0" applyNumberFormat="0" applyFill="0" applyBorder="0" applyAlignment="0" applyProtection="0"/>
    <xf numFmtId="0" fontId="10" fillId="0" borderId="0"/>
    <xf numFmtId="10" fontId="10" fillId="0" borderId="0" applyFont="0" applyFill="0" applyBorder="0" applyAlignment="0" applyProtection="0"/>
    <xf numFmtId="42" fontId="33" fillId="0" borderId="0" applyProtection="0"/>
    <xf numFmtId="44" fontId="33" fillId="0" borderId="0" applyProtection="0"/>
    <xf numFmtId="173" fontId="33" fillId="0" borderId="0" applyProtection="0"/>
    <xf numFmtId="42" fontId="33" fillId="0" borderId="0" applyProtection="0"/>
    <xf numFmtId="44" fontId="33" fillId="0" borderId="0" applyProtection="0"/>
    <xf numFmtId="173" fontId="33" fillId="0" borderId="0" applyProtection="0"/>
    <xf numFmtId="177" fontId="37" fillId="14" borderId="0" applyBorder="0" applyAlignment="0">
      <protection hidden="1"/>
    </xf>
    <xf numFmtId="1" fontId="37" fillId="14" borderId="0">
      <alignment horizontal="center"/>
    </xf>
    <xf numFmtId="4" fontId="48" fillId="6" borderId="23" applyNumberFormat="0" applyProtection="0">
      <alignment vertical="center"/>
    </xf>
    <xf numFmtId="4" fontId="49" fillId="6" borderId="23" applyNumberFormat="0" applyProtection="0">
      <alignment vertical="center"/>
    </xf>
    <xf numFmtId="4" fontId="50" fillId="6" borderId="23" applyNumberFormat="0" applyProtection="0">
      <alignment horizontal="left" vertical="center" indent="1"/>
    </xf>
    <xf numFmtId="4" fontId="50" fillId="17" borderId="0" applyNumberFormat="0" applyProtection="0">
      <alignment horizontal="left" vertical="center" indent="1"/>
    </xf>
    <xf numFmtId="4" fontId="50" fillId="18" borderId="23" applyNumberFormat="0" applyProtection="0">
      <alignment horizontal="right" vertical="center"/>
    </xf>
    <xf numFmtId="4" fontId="50" fillId="19" borderId="23" applyNumberFormat="0" applyProtection="0">
      <alignment horizontal="right" vertical="center"/>
    </xf>
    <xf numFmtId="4" fontId="50" fillId="20" borderId="23" applyNumberFormat="0" applyProtection="0">
      <alignment horizontal="right" vertical="center"/>
    </xf>
    <xf numFmtId="4" fontId="50" fillId="11" borderId="23" applyNumberFormat="0" applyProtection="0">
      <alignment horizontal="right" vertical="center"/>
    </xf>
    <xf numFmtId="4" fontId="50" fillId="21" borderId="23" applyNumberFormat="0" applyProtection="0">
      <alignment horizontal="right" vertical="center"/>
    </xf>
    <xf numFmtId="4" fontId="50" fillId="4" borderId="23" applyNumberFormat="0" applyProtection="0">
      <alignment horizontal="right" vertical="center"/>
    </xf>
    <xf numFmtId="4" fontId="50" fillId="22" borderId="23" applyNumberFormat="0" applyProtection="0">
      <alignment horizontal="right" vertical="center"/>
    </xf>
    <xf numFmtId="4" fontId="50" fillId="23" borderId="23" applyNumberFormat="0" applyProtection="0">
      <alignment horizontal="right" vertical="center"/>
    </xf>
    <xf numFmtId="4" fontId="50" fillId="24" borderId="23" applyNumberFormat="0" applyProtection="0">
      <alignment horizontal="right" vertical="center"/>
    </xf>
    <xf numFmtId="4" fontId="48" fillId="25" borderId="24" applyNumberFormat="0" applyProtection="0">
      <alignment horizontal="left" vertical="center" indent="1"/>
    </xf>
    <xf numFmtId="4" fontId="48" fillId="8" borderId="0" applyNumberFormat="0" applyProtection="0">
      <alignment horizontal="left" vertical="center" indent="1"/>
    </xf>
    <xf numFmtId="4" fontId="48" fillId="17" borderId="0" applyNumberFormat="0" applyProtection="0">
      <alignment horizontal="left" vertical="center" indent="1"/>
    </xf>
    <xf numFmtId="4" fontId="50" fillId="8" borderId="23" applyNumberFormat="0" applyProtection="0">
      <alignment horizontal="right" vertical="center"/>
    </xf>
    <xf numFmtId="4" fontId="15" fillId="8" borderId="0" applyNumberFormat="0" applyProtection="0">
      <alignment horizontal="left" vertical="center" indent="1"/>
    </xf>
    <xf numFmtId="4" fontId="15" fillId="17" borderId="0" applyNumberFormat="0" applyProtection="0">
      <alignment horizontal="left" vertical="center" indent="1"/>
    </xf>
    <xf numFmtId="4" fontId="50" fillId="26" borderId="23" applyNumberFormat="0" applyProtection="0">
      <alignment vertical="center"/>
    </xf>
    <xf numFmtId="4" fontId="48" fillId="27" borderId="23" applyNumberFormat="0" applyProtection="0">
      <alignment vertical="center"/>
    </xf>
    <xf numFmtId="4" fontId="48" fillId="8" borderId="25" applyNumberFormat="0" applyProtection="0">
      <alignment horizontal="left" vertical="center" indent="1"/>
    </xf>
    <xf numFmtId="4" fontId="50" fillId="26" borderId="23" applyNumberFormat="0" applyProtection="0">
      <alignment horizontal="right" vertical="center"/>
    </xf>
    <xf numFmtId="4" fontId="48" fillId="27" borderId="23" applyNumberFormat="0" applyProtection="0">
      <alignment horizontal="right" vertical="center"/>
    </xf>
    <xf numFmtId="4" fontId="48" fillId="8" borderId="23" applyNumberFormat="0" applyProtection="0">
      <alignment horizontal="left" vertical="center" wrapText="1" indent="1"/>
    </xf>
    <xf numFmtId="4" fontId="51" fillId="28" borderId="25" applyNumberFormat="0" applyProtection="0">
      <alignment horizontal="left" vertical="center" indent="1"/>
    </xf>
    <xf numFmtId="4" fontId="52" fillId="26" borderId="23" applyNumberFormat="0" applyProtection="0">
      <alignment horizontal="right" vertical="center"/>
    </xf>
    <xf numFmtId="0" fontId="53" fillId="29" borderId="0"/>
    <xf numFmtId="186" fontId="39" fillId="0" borderId="26" applyBorder="0" applyProtection="0">
      <alignment horizontal="right" vertical="center"/>
    </xf>
    <xf numFmtId="2" fontId="38" fillId="0" borderId="0" applyNumberFormat="0" applyBorder="0" applyAlignment="0">
      <alignment vertical="center"/>
    </xf>
    <xf numFmtId="170" fontId="40" fillId="0" borderId="0"/>
    <xf numFmtId="170" fontId="22" fillId="0" borderId="27"/>
    <xf numFmtId="176" fontId="20" fillId="0" borderId="28" applyNumberFormat="0" applyFont="0" applyFill="0" applyAlignment="0" applyProtection="0"/>
    <xf numFmtId="2" fontId="26" fillId="0" borderId="1">
      <alignment horizontal="center" vertical="center"/>
    </xf>
    <xf numFmtId="187" fontId="41" fillId="0" borderId="0">
      <alignment horizontal="left"/>
      <protection locked="0"/>
    </xf>
    <xf numFmtId="37" fontId="7" fillId="6" borderId="0" applyNumberFormat="0" applyBorder="0" applyAlignment="0" applyProtection="0"/>
    <xf numFmtId="37" fontId="7" fillId="0" borderId="0"/>
    <xf numFmtId="3" fontId="42" fillId="0" borderId="21" applyProtection="0"/>
    <xf numFmtId="177" fontId="37" fillId="14" borderId="18" applyBorder="0">
      <alignment horizontal="right" vertical="center"/>
      <protection locked="0"/>
    </xf>
    <xf numFmtId="184" fontId="43" fillId="0" borderId="0" applyFill="0"/>
    <xf numFmtId="188" fontId="20" fillId="0" borderId="0" applyFont="0" applyFill="0" applyBorder="0" applyAlignment="0" applyProtection="0"/>
    <xf numFmtId="0" fontId="44" fillId="0" borderId="0"/>
    <xf numFmtId="37" fontId="45" fillId="0" borderId="0" applyNumberFormat="0" applyFill="0" applyBorder="0" applyAlignment="0" applyProtection="0"/>
    <xf numFmtId="174" fontId="46" fillId="0" borderId="2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ill="0" applyAlignment="0" applyProtection="0">
      <alignment wrapText="1"/>
    </xf>
    <xf numFmtId="0" fontId="10" fillId="0" borderId="0"/>
    <xf numFmtId="0" fontId="55" fillId="30" borderId="0" applyNumberFormat="0" applyBorder="0" applyAlignment="0" applyProtection="0"/>
    <xf numFmtId="0" fontId="55" fillId="31" borderId="0" applyNumberFormat="0" applyBorder="0" applyAlignment="0" applyProtection="0"/>
    <xf numFmtId="0" fontId="55" fillId="32" borderId="0" applyNumberFormat="0" applyBorder="0" applyAlignment="0" applyProtection="0"/>
    <xf numFmtId="0" fontId="55" fillId="33" borderId="0" applyNumberFormat="0" applyBorder="0" applyAlignment="0" applyProtection="0"/>
    <xf numFmtId="0" fontId="55" fillId="34" borderId="0" applyNumberFormat="0" applyBorder="0" applyAlignment="0" applyProtection="0"/>
    <xf numFmtId="0" fontId="55" fillId="35" borderId="0" applyNumberFormat="0" applyBorder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4" borderId="0" applyNumberFormat="0" applyBorder="0" applyAlignment="0" applyProtection="0"/>
    <xf numFmtId="0" fontId="56" fillId="35" borderId="0" applyNumberFormat="0" applyBorder="0" applyAlignment="0" applyProtection="0"/>
    <xf numFmtId="0" fontId="55" fillId="36" borderId="0" applyNumberFormat="0" applyBorder="0" applyAlignment="0" applyProtection="0"/>
    <xf numFmtId="0" fontId="55" fillId="37" borderId="0" applyNumberFormat="0" applyBorder="0" applyAlignment="0" applyProtection="0"/>
    <xf numFmtId="0" fontId="55" fillId="38" borderId="0" applyNumberFormat="0" applyBorder="0" applyAlignment="0" applyProtection="0"/>
    <xf numFmtId="0" fontId="55" fillId="33" borderId="0" applyNumberFormat="0" applyBorder="0" applyAlignment="0" applyProtection="0"/>
    <xf numFmtId="0" fontId="55" fillId="36" borderId="0" applyNumberFormat="0" applyBorder="0" applyAlignment="0" applyProtection="0"/>
    <xf numFmtId="0" fontId="55" fillId="39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38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9" borderId="0" applyNumberFormat="0" applyBorder="0" applyAlignment="0" applyProtection="0"/>
    <xf numFmtId="0" fontId="57" fillId="40" borderId="0" applyNumberFormat="0" applyBorder="0" applyAlignment="0" applyProtection="0"/>
    <xf numFmtId="0" fontId="57" fillId="37" borderId="0" applyNumberFormat="0" applyBorder="0" applyAlignment="0" applyProtection="0"/>
    <xf numFmtId="0" fontId="57" fillId="38" borderId="0" applyNumberFormat="0" applyBorder="0" applyAlignment="0" applyProtection="0"/>
    <xf numFmtId="0" fontId="57" fillId="41" borderId="0" applyNumberFormat="0" applyBorder="0" applyAlignment="0" applyProtection="0"/>
    <xf numFmtId="0" fontId="57" fillId="42" borderId="0" applyNumberFormat="0" applyBorder="0" applyAlignment="0" applyProtection="0"/>
    <xf numFmtId="0" fontId="57" fillId="43" borderId="0" applyNumberFormat="0" applyBorder="0" applyAlignment="0" applyProtection="0"/>
    <xf numFmtId="0" fontId="58" fillId="40" borderId="0" applyNumberFormat="0" applyBorder="0" applyAlignment="0" applyProtection="0"/>
    <xf numFmtId="0" fontId="58" fillId="37" borderId="0" applyNumberFormat="0" applyBorder="0" applyAlignment="0" applyProtection="0"/>
    <xf numFmtId="0" fontId="58" fillId="38" borderId="0" applyNumberFormat="0" applyBorder="0" applyAlignment="0" applyProtection="0"/>
    <xf numFmtId="0" fontId="58" fillId="41" borderId="0" applyNumberFormat="0" applyBorder="0" applyAlignment="0" applyProtection="0"/>
    <xf numFmtId="0" fontId="58" fillId="42" borderId="0" applyNumberFormat="0" applyBorder="0" applyAlignment="0" applyProtection="0"/>
    <xf numFmtId="0" fontId="58" fillId="43" borderId="0" applyNumberFormat="0" applyBorder="0" applyAlignment="0" applyProtection="0"/>
    <xf numFmtId="0" fontId="58" fillId="44" borderId="0" applyNumberFormat="0" applyBorder="0" applyAlignment="0" applyProtection="0"/>
    <xf numFmtId="0" fontId="58" fillId="45" borderId="0" applyNumberFormat="0" applyBorder="0" applyAlignment="0" applyProtection="0"/>
    <xf numFmtId="0" fontId="58" fillId="46" borderId="0" applyNumberFormat="0" applyBorder="0" applyAlignment="0" applyProtection="0"/>
    <xf numFmtId="0" fontId="58" fillId="41" borderId="0" applyNumberFormat="0" applyBorder="0" applyAlignment="0" applyProtection="0"/>
    <xf numFmtId="0" fontId="58" fillId="42" borderId="0" applyNumberFormat="0" applyBorder="0" applyAlignment="0" applyProtection="0"/>
    <xf numFmtId="0" fontId="58" fillId="47" borderId="0" applyNumberFormat="0" applyBorder="0" applyAlignment="0" applyProtection="0"/>
    <xf numFmtId="0" fontId="57" fillId="44" borderId="0" applyNumberFormat="0" applyBorder="0" applyAlignment="0" applyProtection="0"/>
    <xf numFmtId="0" fontId="57" fillId="45" borderId="0" applyNumberFormat="0" applyBorder="0" applyAlignment="0" applyProtection="0"/>
    <xf numFmtId="0" fontId="57" fillId="46" borderId="0" applyNumberFormat="0" applyBorder="0" applyAlignment="0" applyProtection="0"/>
    <xf numFmtId="0" fontId="57" fillId="41" borderId="0" applyNumberFormat="0" applyBorder="0" applyAlignment="0" applyProtection="0"/>
    <xf numFmtId="0" fontId="57" fillId="42" borderId="0" applyNumberFormat="0" applyBorder="0" applyAlignment="0" applyProtection="0"/>
    <xf numFmtId="0" fontId="57" fillId="47" borderId="0" applyNumberFormat="0" applyBorder="0" applyAlignment="0" applyProtection="0"/>
    <xf numFmtId="0" fontId="59" fillId="13" borderId="29" applyNumberFormat="0" applyAlignment="0" applyProtection="0"/>
    <xf numFmtId="0" fontId="60" fillId="31" borderId="0" applyNumberFormat="0" applyBorder="0" applyAlignment="0" applyProtection="0"/>
    <xf numFmtId="0" fontId="61" fillId="13" borderId="30" applyNumberFormat="0" applyAlignment="0" applyProtection="0"/>
    <xf numFmtId="0" fontId="62" fillId="13" borderId="30" applyNumberFormat="0" applyAlignment="0" applyProtection="0"/>
    <xf numFmtId="0" fontId="63" fillId="48" borderId="31" applyNumberFormat="0" applyAlignment="0" applyProtection="0"/>
    <xf numFmtId="0" fontId="64" fillId="35" borderId="30" applyNumberFormat="0" applyAlignment="0" applyProtection="0"/>
    <xf numFmtId="0" fontId="65" fillId="0" borderId="32" applyNumberFormat="0" applyFill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32" borderId="0" applyNumberFormat="0" applyBorder="0" applyAlignment="0" applyProtection="0"/>
    <xf numFmtId="0" fontId="69" fillId="32" borderId="0" applyNumberFormat="0" applyBorder="0" applyAlignment="0" applyProtection="0"/>
    <xf numFmtId="0" fontId="70" fillId="0" borderId="33" applyNumberFormat="0" applyFill="0" applyAlignment="0" applyProtection="0"/>
    <xf numFmtId="0" fontId="71" fillId="0" borderId="34" applyNumberFormat="0" applyFill="0" applyAlignment="0" applyProtection="0"/>
    <xf numFmtId="0" fontId="72" fillId="0" borderId="35" applyNumberFormat="0" applyFill="0" applyAlignment="0" applyProtection="0"/>
    <xf numFmtId="0" fontId="72" fillId="0" borderId="0" applyNumberFormat="0" applyFill="0" applyBorder="0" applyAlignment="0" applyProtection="0"/>
    <xf numFmtId="0" fontId="73" fillId="35" borderId="30" applyNumberFormat="0" applyAlignment="0" applyProtection="0"/>
    <xf numFmtId="0" fontId="74" fillId="0" borderId="36" applyNumberFormat="0" applyFill="0" applyAlignment="0" applyProtection="0"/>
    <xf numFmtId="0" fontId="10" fillId="49" borderId="37" applyNumberFormat="0" applyFont="0" applyAlignment="0" applyProtection="0"/>
    <xf numFmtId="0" fontId="10" fillId="49" borderId="37" applyNumberFormat="0" applyFont="0" applyAlignment="0" applyProtection="0"/>
    <xf numFmtId="0" fontId="10" fillId="49" borderId="37" applyNumberFormat="0" applyFont="0" applyAlignment="0" applyProtection="0"/>
    <xf numFmtId="0" fontId="75" fillId="13" borderId="29" applyNumberFormat="0" applyAlignment="0" applyProtection="0"/>
    <xf numFmtId="9" fontId="10" fillId="0" borderId="0" applyFont="0" applyFill="0" applyBorder="0" applyAlignment="0" applyProtection="0"/>
    <xf numFmtId="0" fontId="76" fillId="31" borderId="0" applyNumberFormat="0" applyBorder="0" applyAlignment="0" applyProtection="0"/>
    <xf numFmtId="187" fontId="47" fillId="0" borderId="0"/>
    <xf numFmtId="187" fontId="47" fillId="0" borderId="0"/>
    <xf numFmtId="187" fontId="47" fillId="0" borderId="0"/>
    <xf numFmtId="0" fontId="77" fillId="0" borderId="0" applyNumberFormat="0" applyFill="0" applyBorder="0" applyAlignment="0" applyProtection="0"/>
    <xf numFmtId="0" fontId="222" fillId="0" borderId="59" applyNumberFormat="0" applyFill="0" applyAlignment="0" applyProtection="0">
      <alignment vertical="top" wrapText="1"/>
    </xf>
    <xf numFmtId="0" fontId="79" fillId="0" borderId="33" applyNumberFormat="0" applyFill="0" applyAlignment="0" applyProtection="0"/>
    <xf numFmtId="0" fontId="80" fillId="0" borderId="34" applyNumberFormat="0" applyFill="0" applyAlignment="0" applyProtection="0"/>
    <xf numFmtId="0" fontId="81" fillId="0" borderId="35" applyNumberFormat="0" applyFill="0" applyAlignment="0" applyProtection="0"/>
    <xf numFmtId="0" fontId="81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82" fillId="0" borderId="36" applyNumberFormat="0" applyFill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48" borderId="31" applyNumberFormat="0" applyAlignment="0" applyProtection="0"/>
    <xf numFmtId="0" fontId="86" fillId="0" borderId="0"/>
    <xf numFmtId="9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0" fontId="89" fillId="0" borderId="0"/>
    <xf numFmtId="43" fontId="10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89" fillId="0" borderId="0" applyFont="0" applyFill="0" applyBorder="0" applyAlignment="0" applyProtection="0"/>
    <xf numFmtId="0" fontId="98" fillId="0" borderId="0"/>
    <xf numFmtId="6" fontId="33" fillId="0" borderId="0" applyProtection="0"/>
    <xf numFmtId="7" fontId="33" fillId="0" borderId="0" applyProtection="0"/>
    <xf numFmtId="8" fontId="33" fillId="0" borderId="0" applyProtection="0"/>
    <xf numFmtId="6" fontId="33" fillId="0" borderId="0" applyProtection="0"/>
    <xf numFmtId="7" fontId="33" fillId="0" borderId="0" applyProtection="0"/>
    <xf numFmtId="8" fontId="33" fillId="0" borderId="0" applyProtection="0"/>
    <xf numFmtId="42" fontId="33" fillId="0" borderId="0" applyProtection="0"/>
    <xf numFmtId="44" fontId="33" fillId="0" borderId="0" applyProtection="0"/>
    <xf numFmtId="42" fontId="33" fillId="0" borderId="0" applyProtection="0"/>
    <xf numFmtId="44" fontId="33" fillId="0" borderId="0" applyProtection="0"/>
    <xf numFmtId="9" fontId="4" fillId="0" borderId="0" applyFont="0" applyFill="0" applyBorder="0" applyAlignment="0" applyProtection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10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1" fillId="0" borderId="0"/>
    <xf numFmtId="0" fontId="113" fillId="0" borderId="0"/>
    <xf numFmtId="0" fontId="115" fillId="0" borderId="0" applyNumberFormat="0" applyProtection="0">
      <alignment horizontal="center"/>
    </xf>
    <xf numFmtId="43" fontId="115" fillId="0" borderId="0" applyFont="0" applyFill="0" applyBorder="0" applyAlignment="0" applyProtection="0"/>
    <xf numFmtId="0" fontId="115" fillId="0" borderId="0" applyNumberFormat="0" applyProtection="0">
      <alignment horizontal="center"/>
    </xf>
    <xf numFmtId="0" fontId="4" fillId="0" borderId="0"/>
    <xf numFmtId="43" fontId="4" fillId="0" borderId="0" applyFont="0" applyFill="0" applyBorder="0" applyAlignment="0" applyProtection="0"/>
    <xf numFmtId="43" fontId="11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11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89" fillId="0" borderId="0"/>
    <xf numFmtId="0" fontId="4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187" fontId="47" fillId="0" borderId="0"/>
    <xf numFmtId="0" fontId="142" fillId="0" borderId="0"/>
    <xf numFmtId="0" fontId="10" fillId="0" borderId="0"/>
    <xf numFmtId="0" fontId="10" fillId="0" borderId="0"/>
    <xf numFmtId="187" fontId="47" fillId="0" borderId="0"/>
    <xf numFmtId="0" fontId="10" fillId="0" borderId="0"/>
    <xf numFmtId="0" fontId="10" fillId="0" borderId="0"/>
    <xf numFmtId="0" fontId="10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26" fillId="30" borderId="0" applyNumberFormat="0" applyBorder="0" applyAlignment="0" applyProtection="0"/>
    <xf numFmtId="0" fontId="126" fillId="31" borderId="0" applyNumberFormat="0" applyBorder="0" applyAlignment="0" applyProtection="0"/>
    <xf numFmtId="0" fontId="126" fillId="32" borderId="0" applyNumberFormat="0" applyBorder="0" applyAlignment="0" applyProtection="0"/>
    <xf numFmtId="0" fontId="126" fillId="33" borderId="0" applyNumberFormat="0" applyBorder="0" applyAlignment="0" applyProtection="0"/>
    <xf numFmtId="0" fontId="126" fillId="34" borderId="0" applyNumberFormat="0" applyBorder="0" applyAlignment="0" applyProtection="0"/>
    <xf numFmtId="0" fontId="126" fillId="35" borderId="0" applyNumberFormat="0" applyBorder="0" applyAlignment="0" applyProtection="0"/>
    <xf numFmtId="0" fontId="126" fillId="36" borderId="0" applyNumberFormat="0" applyBorder="0" applyAlignment="0" applyProtection="0"/>
    <xf numFmtId="0" fontId="126" fillId="37" borderId="0" applyNumberFormat="0" applyBorder="0" applyAlignment="0" applyProtection="0"/>
    <xf numFmtId="0" fontId="126" fillId="38" borderId="0" applyNumberFormat="0" applyBorder="0" applyAlignment="0" applyProtection="0"/>
    <xf numFmtId="0" fontId="126" fillId="33" borderId="0" applyNumberFormat="0" applyBorder="0" applyAlignment="0" applyProtection="0"/>
    <xf numFmtId="0" fontId="126" fillId="36" borderId="0" applyNumberFormat="0" applyBorder="0" applyAlignment="0" applyProtection="0"/>
    <xf numFmtId="0" fontId="126" fillId="39" borderId="0" applyNumberFormat="0" applyBorder="0" applyAlignment="0" applyProtection="0"/>
    <xf numFmtId="0" fontId="127" fillId="40" borderId="0" applyNumberFormat="0" applyBorder="0" applyAlignment="0" applyProtection="0"/>
    <xf numFmtId="0" fontId="127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3" borderId="0" applyNumberFormat="0" applyBorder="0" applyAlignment="0" applyProtection="0"/>
    <xf numFmtId="0" fontId="127" fillId="44" borderId="0" applyNumberFormat="0" applyBorder="0" applyAlignment="0" applyProtection="0"/>
    <xf numFmtId="0" fontId="127" fillId="45" borderId="0" applyNumberFormat="0" applyBorder="0" applyAlignment="0" applyProtection="0"/>
    <xf numFmtId="0" fontId="127" fillId="46" borderId="0" applyNumberFormat="0" applyBorder="0" applyAlignment="0" applyProtection="0"/>
    <xf numFmtId="0" fontId="127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7" borderId="0" applyNumberFormat="0" applyBorder="0" applyAlignment="0" applyProtection="0"/>
    <xf numFmtId="175" fontId="8" fillId="8" borderId="16">
      <alignment horizontal="center" vertical="center"/>
    </xf>
    <xf numFmtId="0" fontId="128" fillId="31" borderId="0" applyNumberFormat="0" applyBorder="0" applyAlignment="0" applyProtection="0"/>
    <xf numFmtId="194" fontId="121" fillId="0" borderId="0"/>
    <xf numFmtId="0" fontId="129" fillId="13" borderId="30" applyNumberFormat="0" applyAlignment="0" applyProtection="0"/>
    <xf numFmtId="0" fontId="130" fillId="48" borderId="31" applyNumberFormat="0" applyAlignment="0" applyProtection="0"/>
    <xf numFmtId="43" fontId="10" fillId="0" borderId="0" applyFont="0" applyFill="0" applyBorder="0" applyAlignment="0" applyProtection="0"/>
    <xf numFmtId="193" fontId="121" fillId="0" borderId="0" applyFont="0" applyFill="0" applyBorder="0" applyAlignment="0" applyProtection="0"/>
    <xf numFmtId="194" fontId="121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41" fontId="122" fillId="0" borderId="0"/>
    <xf numFmtId="2" fontId="141" fillId="0" borderId="0"/>
    <xf numFmtId="0" fontId="23" fillId="0" borderId="0"/>
    <xf numFmtId="0" fontId="123" fillId="0" borderId="0">
      <alignment horizontal="left" vertical="center" indent="1"/>
    </xf>
    <xf numFmtId="195" fontId="124" fillId="0" borderId="0" applyFont="0" applyFill="0" applyBorder="0" applyAlignment="0" applyProtection="0"/>
    <xf numFmtId="0" fontId="131" fillId="0" borderId="0" applyNumberFormat="0" applyFill="0" applyBorder="0" applyAlignment="0" applyProtection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0" fontId="116" fillId="13" borderId="1"/>
    <xf numFmtId="0" fontId="132" fillId="32" borderId="0" applyNumberFormat="0" applyBorder="0" applyAlignment="0" applyProtection="0"/>
    <xf numFmtId="38" fontId="7" fillId="14" borderId="0" applyNumberFormat="0" applyBorder="0" applyAlignment="0" applyProtection="0"/>
    <xf numFmtId="0" fontId="117" fillId="15" borderId="0" applyNumberFormat="0" applyFont="0" applyBorder="0" applyAlignment="0"/>
    <xf numFmtId="0" fontId="133" fillId="0" borderId="33" applyNumberFormat="0" applyFill="0" applyAlignment="0" applyProtection="0"/>
    <xf numFmtId="0" fontId="134" fillId="0" borderId="34" applyNumberFormat="0" applyFill="0" applyAlignment="0" applyProtection="0"/>
    <xf numFmtId="0" fontId="135" fillId="0" borderId="35" applyNumberFormat="0" applyFill="0" applyAlignment="0" applyProtection="0"/>
    <xf numFmtId="0" fontId="135" fillId="0" borderId="0" applyNumberFormat="0" applyFill="0" applyBorder="0" applyAlignment="0" applyProtection="0"/>
    <xf numFmtId="182" fontId="10" fillId="0" borderId="0">
      <protection locked="0"/>
    </xf>
    <xf numFmtId="182" fontId="10" fillId="0" borderId="0">
      <protection locked="0"/>
    </xf>
    <xf numFmtId="10" fontId="7" fillId="16" borderId="1" applyNumberFormat="0" applyBorder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6" fillId="35" borderId="30" applyNumberFormat="0" applyAlignment="0" applyProtection="0"/>
    <xf numFmtId="0" fontId="137" fillId="0" borderId="36" applyNumberFormat="0" applyFill="0" applyAlignment="0" applyProtection="0"/>
    <xf numFmtId="185" fontId="7" fillId="16" borderId="0">
      <alignment horizontal="center"/>
    </xf>
    <xf numFmtId="165" fontId="33" fillId="0" borderId="0" applyProtection="0"/>
    <xf numFmtId="165" fontId="33" fillId="0" borderId="0" applyProtection="0"/>
    <xf numFmtId="166" fontId="33" fillId="0" borderId="0" applyProtection="0"/>
    <xf numFmtId="166" fontId="33" fillId="0" borderId="0" applyProtection="0"/>
    <xf numFmtId="167" fontId="33" fillId="0" borderId="0" applyProtection="0"/>
    <xf numFmtId="167" fontId="33" fillId="0" borderId="0" applyProtection="0"/>
    <xf numFmtId="165" fontId="33" fillId="0" borderId="0" applyProtection="0"/>
    <xf numFmtId="165" fontId="33" fillId="0" borderId="0" applyProtection="0"/>
    <xf numFmtId="166" fontId="33" fillId="0" borderId="0" applyProtection="0"/>
    <xf numFmtId="166" fontId="33" fillId="0" borderId="0" applyProtection="0"/>
    <xf numFmtId="167" fontId="33" fillId="0" borderId="0" applyProtection="0"/>
    <xf numFmtId="167" fontId="33" fillId="0" borderId="0" applyProtection="0"/>
    <xf numFmtId="0" fontId="138" fillId="87" borderId="0" applyNumberFormat="0" applyBorder="0" applyAlignment="0" applyProtection="0"/>
    <xf numFmtId="37" fontId="34" fillId="0" borderId="0"/>
    <xf numFmtId="187" fontId="10" fillId="0" borderId="0"/>
    <xf numFmtId="0" fontId="139" fillId="13" borderId="29" applyNumberFormat="0" applyAlignment="0" applyProtection="0"/>
    <xf numFmtId="9" fontId="10" fillId="0" borderId="0" applyFont="0" applyFill="0" applyBorder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25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3" fillId="0" borderId="0" applyProtection="0"/>
    <xf numFmtId="168" fontId="33" fillId="0" borderId="0" applyProtection="0"/>
    <xf numFmtId="169" fontId="33" fillId="0" borderId="0" applyProtection="0"/>
    <xf numFmtId="169" fontId="33" fillId="0" borderId="0" applyProtection="0"/>
    <xf numFmtId="173" fontId="33" fillId="0" borderId="0" applyProtection="0"/>
    <xf numFmtId="168" fontId="33" fillId="0" borderId="0" applyProtection="0"/>
    <xf numFmtId="168" fontId="33" fillId="0" borderId="0" applyProtection="0"/>
    <xf numFmtId="169" fontId="33" fillId="0" borderId="0" applyProtection="0"/>
    <xf numFmtId="169" fontId="33" fillId="0" borderId="0" applyProtection="0"/>
    <xf numFmtId="173" fontId="33" fillId="0" borderId="0" applyProtection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0" fillId="0" borderId="53" applyNumberFormat="0" applyFont="0" applyFill="0" applyAlignment="0" applyProtection="0"/>
    <xf numFmtId="2" fontId="89" fillId="0" borderId="0" applyNumberFormat="0" applyBorder="0" applyAlignment="0">
      <alignment vertical="center"/>
    </xf>
    <xf numFmtId="170" fontId="118" fillId="24" borderId="0" applyNumberFormat="0" applyBorder="0"/>
    <xf numFmtId="182" fontId="10" fillId="0" borderId="54">
      <protection locked="0"/>
    </xf>
    <xf numFmtId="182" fontId="10" fillId="0" borderId="54">
      <protection locked="0"/>
    </xf>
    <xf numFmtId="2" fontId="116" fillId="0" borderId="1">
      <alignment horizontal="center" vertical="center"/>
    </xf>
    <xf numFmtId="187" fontId="41" fillId="0" borderId="0">
      <alignment horizontal="left"/>
      <protection locked="0"/>
    </xf>
    <xf numFmtId="0" fontId="47" fillId="0" borderId="0"/>
    <xf numFmtId="37" fontId="7" fillId="6" borderId="0" applyNumberFormat="0" applyBorder="0" applyAlignment="0" applyProtection="0"/>
    <xf numFmtId="37" fontId="7" fillId="0" borderId="0"/>
    <xf numFmtId="196" fontId="10" fillId="0" borderId="0" applyFont="0" applyFill="0" applyBorder="0" applyAlignment="0" applyProtection="0"/>
    <xf numFmtId="192" fontId="10" fillId="0" borderId="0" applyFont="0" applyFill="0" applyBorder="0" applyAlignment="0" applyProtection="0"/>
    <xf numFmtId="0" fontId="140" fillId="0" borderId="0" applyNumberFormat="0" applyFill="0" applyBorder="0" applyAlignment="0" applyProtection="0"/>
    <xf numFmtId="174" fontId="119" fillId="0" borderId="2"/>
    <xf numFmtId="0" fontId="143" fillId="0" borderId="43" applyNumberFormat="0" applyFill="0" applyAlignment="0" applyProtection="0"/>
    <xf numFmtId="0" fontId="144" fillId="0" borderId="44" applyNumberFormat="0" applyFill="0" applyAlignment="0" applyProtection="0"/>
    <xf numFmtId="0" fontId="145" fillId="0" borderId="45" applyNumberFormat="0" applyFill="0" applyAlignment="0" applyProtection="0"/>
    <xf numFmtId="0" fontId="145" fillId="0" borderId="0" applyNumberFormat="0" applyFill="0" applyBorder="0" applyAlignment="0" applyProtection="0"/>
    <xf numFmtId="0" fontId="146" fillId="56" borderId="0" applyNumberFormat="0" applyBorder="0" applyAlignment="0" applyProtection="0"/>
    <xf numFmtId="0" fontId="147" fillId="57" borderId="0" applyNumberFormat="0" applyBorder="0" applyAlignment="0" applyProtection="0"/>
    <xf numFmtId="0" fontId="148" fillId="58" borderId="0" applyNumberFormat="0" applyBorder="0" applyAlignment="0" applyProtection="0"/>
    <xf numFmtId="0" fontId="149" fillId="59" borderId="46" applyNumberFormat="0" applyAlignment="0" applyProtection="0"/>
    <xf numFmtId="0" fontId="150" fillId="60" borderId="47" applyNumberFormat="0" applyAlignment="0" applyProtection="0"/>
    <xf numFmtId="0" fontId="151" fillId="60" borderId="46" applyNumberFormat="0" applyAlignment="0" applyProtection="0"/>
    <xf numFmtId="0" fontId="152" fillId="0" borderId="48" applyNumberFormat="0" applyFill="0" applyAlignment="0" applyProtection="0"/>
    <xf numFmtId="0" fontId="153" fillId="61" borderId="49" applyNumberFormat="0" applyAlignment="0" applyProtection="0"/>
    <xf numFmtId="0" fontId="154" fillId="0" borderId="0" applyNumberFormat="0" applyFill="0" applyBorder="0" applyAlignment="0" applyProtection="0"/>
    <xf numFmtId="0" fontId="155" fillId="0" borderId="0" applyNumberFormat="0" applyFill="0" applyBorder="0" applyAlignment="0" applyProtection="0"/>
    <xf numFmtId="0" fontId="156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156" fillId="66" borderId="0" applyNumberFormat="0" applyBorder="0" applyAlignment="0" applyProtection="0"/>
    <xf numFmtId="0" fontId="156" fillId="67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156" fillId="70" borderId="0" applyNumberFormat="0" applyBorder="0" applyAlignment="0" applyProtection="0"/>
    <xf numFmtId="0" fontId="156" fillId="71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156" fillId="74" borderId="0" applyNumberFormat="0" applyBorder="0" applyAlignment="0" applyProtection="0"/>
    <xf numFmtId="0" fontId="156" fillId="75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156" fillId="78" borderId="0" applyNumberFormat="0" applyBorder="0" applyAlignment="0" applyProtection="0"/>
    <xf numFmtId="0" fontId="156" fillId="79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156" fillId="82" borderId="0" applyNumberFormat="0" applyBorder="0" applyAlignment="0" applyProtection="0"/>
    <xf numFmtId="0" fontId="156" fillId="83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156" fillId="86" borderId="0" applyNumberFormat="0" applyBorder="0" applyAlignment="0" applyProtection="0"/>
    <xf numFmtId="0" fontId="115" fillId="0" borderId="0" applyNumberFormat="0" applyProtection="0">
      <alignment horizontal="center"/>
    </xf>
    <xf numFmtId="0" fontId="112" fillId="0" borderId="0" applyNumberFormat="0" applyFill="0" applyBorder="0" applyAlignment="0" applyProtection="0"/>
    <xf numFmtId="0" fontId="4" fillId="62" borderId="50" applyNumberFormat="0" applyFont="0" applyAlignment="0" applyProtection="0"/>
    <xf numFmtId="0" fontId="88" fillId="0" borderId="51" applyNumberFormat="0" applyFill="0" applyAlignment="0" applyProtection="0"/>
    <xf numFmtId="187" fontId="47" fillId="0" borderId="0"/>
    <xf numFmtId="187" fontId="47" fillId="0" borderId="0"/>
    <xf numFmtId="0" fontId="10" fillId="0" borderId="0"/>
    <xf numFmtId="0" fontId="10" fillId="0" borderId="0"/>
    <xf numFmtId="0" fontId="125" fillId="0" borderId="0"/>
    <xf numFmtId="0" fontId="125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57" fillId="30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57" fillId="31" borderId="0" applyNumberFormat="0" applyBorder="0" applyAlignment="0" applyProtection="0"/>
    <xf numFmtId="0" fontId="126" fillId="32" borderId="0" applyNumberFormat="0" applyBorder="0" applyAlignment="0" applyProtection="0"/>
    <xf numFmtId="0" fontId="126" fillId="32" borderId="0" applyNumberFormat="0" applyBorder="0" applyAlignment="0" applyProtection="0"/>
    <xf numFmtId="0" fontId="157" fillId="32" borderId="0" applyNumberFormat="0" applyBorder="0" applyAlignment="0" applyProtection="0"/>
    <xf numFmtId="0" fontId="126" fillId="33" borderId="0" applyNumberFormat="0" applyBorder="0" applyAlignment="0" applyProtection="0"/>
    <xf numFmtId="0" fontId="126" fillId="33" borderId="0" applyNumberFormat="0" applyBorder="0" applyAlignment="0" applyProtection="0"/>
    <xf numFmtId="0" fontId="157" fillId="33" borderId="0" applyNumberFormat="0" applyBorder="0" applyAlignment="0" applyProtection="0"/>
    <xf numFmtId="0" fontId="126" fillId="34" borderId="0" applyNumberFormat="0" applyBorder="0" applyAlignment="0" applyProtection="0"/>
    <xf numFmtId="0" fontId="126" fillId="34" borderId="0" applyNumberFormat="0" applyBorder="0" applyAlignment="0" applyProtection="0"/>
    <xf numFmtId="0" fontId="157" fillId="34" borderId="0" applyNumberFormat="0" applyBorder="0" applyAlignment="0" applyProtection="0"/>
    <xf numFmtId="0" fontId="126" fillId="35" borderId="0" applyNumberFormat="0" applyBorder="0" applyAlignment="0" applyProtection="0"/>
    <xf numFmtId="0" fontId="126" fillId="35" borderId="0" applyNumberFormat="0" applyBorder="0" applyAlignment="0" applyProtection="0"/>
    <xf numFmtId="0" fontId="157" fillId="35" borderId="0" applyNumberFormat="0" applyBorder="0" applyAlignment="0" applyProtection="0"/>
    <xf numFmtId="0" fontId="126" fillId="36" borderId="0" applyNumberFormat="0" applyBorder="0" applyAlignment="0" applyProtection="0"/>
    <xf numFmtId="0" fontId="126" fillId="36" borderId="0" applyNumberFormat="0" applyBorder="0" applyAlignment="0" applyProtection="0"/>
    <xf numFmtId="0" fontId="157" fillId="36" borderId="0" applyNumberFormat="0" applyBorder="0" applyAlignment="0" applyProtection="0"/>
    <xf numFmtId="0" fontId="126" fillId="37" borderId="0" applyNumberFormat="0" applyBorder="0" applyAlignment="0" applyProtection="0"/>
    <xf numFmtId="0" fontId="126" fillId="37" borderId="0" applyNumberFormat="0" applyBorder="0" applyAlignment="0" applyProtection="0"/>
    <xf numFmtId="0" fontId="157" fillId="37" borderId="0" applyNumberFormat="0" applyBorder="0" applyAlignment="0" applyProtection="0"/>
    <xf numFmtId="0" fontId="126" fillId="38" borderId="0" applyNumberFormat="0" applyBorder="0" applyAlignment="0" applyProtection="0"/>
    <xf numFmtId="0" fontId="126" fillId="38" borderId="0" applyNumberFormat="0" applyBorder="0" applyAlignment="0" applyProtection="0"/>
    <xf numFmtId="0" fontId="157" fillId="38" borderId="0" applyNumberFormat="0" applyBorder="0" applyAlignment="0" applyProtection="0"/>
    <xf numFmtId="0" fontId="126" fillId="33" borderId="0" applyNumberFormat="0" applyBorder="0" applyAlignment="0" applyProtection="0"/>
    <xf numFmtId="0" fontId="126" fillId="33" borderId="0" applyNumberFormat="0" applyBorder="0" applyAlignment="0" applyProtection="0"/>
    <xf numFmtId="0" fontId="157" fillId="33" borderId="0" applyNumberFormat="0" applyBorder="0" applyAlignment="0" applyProtection="0"/>
    <xf numFmtId="0" fontId="126" fillId="36" borderId="0" applyNumberFormat="0" applyBorder="0" applyAlignment="0" applyProtection="0"/>
    <xf numFmtId="0" fontId="126" fillId="36" borderId="0" applyNumberFormat="0" applyBorder="0" applyAlignment="0" applyProtection="0"/>
    <xf numFmtId="0" fontId="157" fillId="36" borderId="0" applyNumberFormat="0" applyBorder="0" applyAlignment="0" applyProtection="0"/>
    <xf numFmtId="0" fontId="126" fillId="39" borderId="0" applyNumberFormat="0" applyBorder="0" applyAlignment="0" applyProtection="0"/>
    <xf numFmtId="0" fontId="126" fillId="39" borderId="0" applyNumberFormat="0" applyBorder="0" applyAlignment="0" applyProtection="0"/>
    <xf numFmtId="0" fontId="157" fillId="39" borderId="0" applyNumberFormat="0" applyBorder="0" applyAlignment="0" applyProtection="0"/>
    <xf numFmtId="0" fontId="127" fillId="40" borderId="0" applyNumberFormat="0" applyBorder="0" applyAlignment="0" applyProtection="0"/>
    <xf numFmtId="0" fontId="127" fillId="40" borderId="0" applyNumberFormat="0" applyBorder="0" applyAlignment="0" applyProtection="0"/>
    <xf numFmtId="0" fontId="158" fillId="40" borderId="0" applyNumberFormat="0" applyBorder="0" applyAlignment="0" applyProtection="0"/>
    <xf numFmtId="0" fontId="127" fillId="37" borderId="0" applyNumberFormat="0" applyBorder="0" applyAlignment="0" applyProtection="0"/>
    <xf numFmtId="0" fontId="127" fillId="37" borderId="0" applyNumberFormat="0" applyBorder="0" applyAlignment="0" applyProtection="0"/>
    <xf numFmtId="0" fontId="158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38" borderId="0" applyNumberFormat="0" applyBorder="0" applyAlignment="0" applyProtection="0"/>
    <xf numFmtId="0" fontId="158" fillId="38" borderId="0" applyNumberFormat="0" applyBorder="0" applyAlignment="0" applyProtection="0"/>
    <xf numFmtId="0" fontId="127" fillId="41" borderId="0" applyNumberFormat="0" applyBorder="0" applyAlignment="0" applyProtection="0"/>
    <xf numFmtId="0" fontId="127" fillId="41" borderId="0" applyNumberFormat="0" applyBorder="0" applyAlignment="0" applyProtection="0"/>
    <xf numFmtId="0" fontId="158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2" borderId="0" applyNumberFormat="0" applyBorder="0" applyAlignment="0" applyProtection="0"/>
    <xf numFmtId="0" fontId="158" fillId="42" borderId="0" applyNumberFormat="0" applyBorder="0" applyAlignment="0" applyProtection="0"/>
    <xf numFmtId="0" fontId="127" fillId="43" borderId="0" applyNumberFormat="0" applyBorder="0" applyAlignment="0" applyProtection="0"/>
    <xf numFmtId="0" fontId="127" fillId="43" borderId="0" applyNumberFormat="0" applyBorder="0" applyAlignment="0" applyProtection="0"/>
    <xf numFmtId="0" fontId="158" fillId="43" borderId="0" applyNumberFormat="0" applyBorder="0" applyAlignment="0" applyProtection="0"/>
    <xf numFmtId="0" fontId="127" fillId="44" borderId="0" applyNumberFormat="0" applyBorder="0" applyAlignment="0" applyProtection="0"/>
    <xf numFmtId="0" fontId="127" fillId="44" borderId="0" applyNumberFormat="0" applyBorder="0" applyAlignment="0" applyProtection="0"/>
    <xf numFmtId="0" fontId="158" fillId="44" borderId="0" applyNumberFormat="0" applyBorder="0" applyAlignment="0" applyProtection="0"/>
    <xf numFmtId="0" fontId="127" fillId="45" borderId="0" applyNumberFormat="0" applyBorder="0" applyAlignment="0" applyProtection="0"/>
    <xf numFmtId="0" fontId="127" fillId="45" borderId="0" applyNumberFormat="0" applyBorder="0" applyAlignment="0" applyProtection="0"/>
    <xf numFmtId="0" fontId="158" fillId="45" borderId="0" applyNumberFormat="0" applyBorder="0" applyAlignment="0" applyProtection="0"/>
    <xf numFmtId="0" fontId="127" fillId="46" borderId="0" applyNumberFormat="0" applyBorder="0" applyAlignment="0" applyProtection="0"/>
    <xf numFmtId="0" fontId="127" fillId="46" borderId="0" applyNumberFormat="0" applyBorder="0" applyAlignment="0" applyProtection="0"/>
    <xf numFmtId="0" fontId="158" fillId="46" borderId="0" applyNumberFormat="0" applyBorder="0" applyAlignment="0" applyProtection="0"/>
    <xf numFmtId="0" fontId="127" fillId="41" borderId="0" applyNumberFormat="0" applyBorder="0" applyAlignment="0" applyProtection="0"/>
    <xf numFmtId="0" fontId="127" fillId="41" borderId="0" applyNumberFormat="0" applyBorder="0" applyAlignment="0" applyProtection="0"/>
    <xf numFmtId="0" fontId="158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2" borderId="0" applyNumberFormat="0" applyBorder="0" applyAlignment="0" applyProtection="0"/>
    <xf numFmtId="0" fontId="158" fillId="42" borderId="0" applyNumberFormat="0" applyBorder="0" applyAlignment="0" applyProtection="0"/>
    <xf numFmtId="0" fontId="127" fillId="47" borderId="0" applyNumberFormat="0" applyBorder="0" applyAlignment="0" applyProtection="0"/>
    <xf numFmtId="0" fontId="127" fillId="47" borderId="0" applyNumberFormat="0" applyBorder="0" applyAlignment="0" applyProtection="0"/>
    <xf numFmtId="0" fontId="158" fillId="47" borderId="0" applyNumberFormat="0" applyBorder="0" applyAlignment="0" applyProtection="0"/>
    <xf numFmtId="0" fontId="128" fillId="31" borderId="0" applyNumberFormat="0" applyBorder="0" applyAlignment="0" applyProtection="0"/>
    <xf numFmtId="0" fontId="128" fillId="31" borderId="0" applyNumberFormat="0" applyBorder="0" applyAlignment="0" applyProtection="0"/>
    <xf numFmtId="0" fontId="159" fillId="31" borderId="0" applyNumberFormat="0" applyBorder="0" applyAlignment="0" applyProtection="0"/>
    <xf numFmtId="0" fontId="129" fillId="13" borderId="30" applyNumberFormat="0" applyAlignment="0" applyProtection="0"/>
    <xf numFmtId="0" fontId="129" fillId="13" borderId="30" applyNumberFormat="0" applyAlignment="0" applyProtection="0"/>
    <xf numFmtId="0" fontId="160" fillId="13" borderId="30" applyNumberFormat="0" applyAlignment="0" applyProtection="0"/>
    <xf numFmtId="0" fontId="130" fillId="48" borderId="31" applyNumberFormat="0" applyAlignment="0" applyProtection="0"/>
    <xf numFmtId="0" fontId="130" fillId="48" borderId="31" applyNumberFormat="0" applyAlignment="0" applyProtection="0"/>
    <xf numFmtId="0" fontId="161" fillId="48" borderId="31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192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192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2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197" fontId="163" fillId="0" borderId="0" applyFont="0" applyFill="0" applyBorder="0" applyAlignment="0" applyProtection="0"/>
    <xf numFmtId="0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32" fillId="32" borderId="0" applyNumberFormat="0" applyBorder="0" applyAlignment="0" applyProtection="0"/>
    <xf numFmtId="0" fontId="132" fillId="32" borderId="0" applyNumberFormat="0" applyBorder="0" applyAlignment="0" applyProtection="0"/>
    <xf numFmtId="0" fontId="165" fillId="32" borderId="0" applyNumberFormat="0" applyBorder="0" applyAlignment="0" applyProtection="0"/>
    <xf numFmtId="0" fontId="133" fillId="0" borderId="33" applyNumberFormat="0" applyFill="0" applyAlignment="0" applyProtection="0"/>
    <xf numFmtId="0" fontId="133" fillId="0" borderId="33" applyNumberFormat="0" applyFill="0" applyAlignment="0" applyProtection="0"/>
    <xf numFmtId="0" fontId="166" fillId="0" borderId="33" applyNumberFormat="0" applyFill="0" applyAlignment="0" applyProtection="0"/>
    <xf numFmtId="0" fontId="134" fillId="0" borderId="34" applyNumberFormat="0" applyFill="0" applyAlignment="0" applyProtection="0"/>
    <xf numFmtId="0" fontId="134" fillId="0" borderId="34" applyNumberFormat="0" applyFill="0" applyAlignment="0" applyProtection="0"/>
    <xf numFmtId="0" fontId="167" fillId="0" borderId="34" applyNumberFormat="0" applyFill="0" applyAlignment="0" applyProtection="0"/>
    <xf numFmtId="0" fontId="135" fillId="0" borderId="35" applyNumberFormat="0" applyFill="0" applyAlignment="0" applyProtection="0"/>
    <xf numFmtId="0" fontId="135" fillId="0" borderId="35" applyNumberFormat="0" applyFill="0" applyAlignment="0" applyProtection="0"/>
    <xf numFmtId="0" fontId="168" fillId="0" borderId="35" applyNumberFormat="0" applyFill="0" applyAlignment="0" applyProtection="0"/>
    <xf numFmtId="0" fontId="135" fillId="0" borderId="0" applyNumberFormat="0" applyFill="0" applyBorder="0" applyAlignment="0" applyProtection="0"/>
    <xf numFmtId="0" fontId="135" fillId="0" borderId="0" applyNumberFormat="0" applyFill="0" applyBorder="0" applyAlignment="0" applyProtection="0"/>
    <xf numFmtId="0" fontId="168" fillId="0" borderId="0" applyNumberFormat="0" applyFill="0" applyBorder="0" applyAlignment="0" applyProtection="0"/>
    <xf numFmtId="0" fontId="169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36" fillId="35" borderId="30" applyNumberFormat="0" applyAlignment="0" applyProtection="0"/>
    <xf numFmtId="0" fontId="137" fillId="0" borderId="36" applyNumberFormat="0" applyFill="0" applyAlignment="0" applyProtection="0"/>
    <xf numFmtId="0" fontId="137" fillId="0" borderId="36" applyNumberFormat="0" applyFill="0" applyAlignment="0" applyProtection="0"/>
    <xf numFmtId="0" fontId="171" fillId="0" borderId="36" applyNumberFormat="0" applyFill="0" applyAlignment="0" applyProtection="0"/>
    <xf numFmtId="0" fontId="138" fillId="87" borderId="0" applyNumberFormat="0" applyBorder="0" applyAlignment="0" applyProtection="0"/>
    <xf numFmtId="0" fontId="138" fillId="87" borderId="0" applyNumberFormat="0" applyBorder="0" applyAlignment="0" applyProtection="0"/>
    <xf numFmtId="0" fontId="172" fillId="87" borderId="0" applyNumberFormat="0" applyBorder="0" applyAlignment="0" applyProtection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25" fillId="0" borderId="0"/>
    <xf numFmtId="0" fontId="173" fillId="0" borderId="0"/>
    <xf numFmtId="0" fontId="10" fillId="0" borderId="0"/>
    <xf numFmtId="0" fontId="162" fillId="0" borderId="0"/>
    <xf numFmtId="0" fontId="174" fillId="0" borderId="0"/>
    <xf numFmtId="0" fontId="125" fillId="0" borderId="0"/>
    <xf numFmtId="187" fontId="125" fillId="0" borderId="0"/>
    <xf numFmtId="187" fontId="125" fillId="0" borderId="0"/>
    <xf numFmtId="187" fontId="125" fillId="0" borderId="0"/>
    <xf numFmtId="187" fontId="125" fillId="0" borderId="0"/>
    <xf numFmtId="0" fontId="125" fillId="0" borderId="0"/>
    <xf numFmtId="0" fontId="10" fillId="0" borderId="0"/>
    <xf numFmtId="0" fontId="10" fillId="0" borderId="0"/>
    <xf numFmtId="0" fontId="10" fillId="0" borderId="0"/>
    <xf numFmtId="0" fontId="125" fillId="0" borderId="0"/>
    <xf numFmtId="187" fontId="10" fillId="0" borderId="0"/>
    <xf numFmtId="187" fontId="10" fillId="0" borderId="0"/>
    <xf numFmtId="0" fontId="4" fillId="0" borderId="0"/>
    <xf numFmtId="187" fontId="10" fillId="0" borderId="0"/>
    <xf numFmtId="0" fontId="125" fillId="49" borderId="37" applyNumberFormat="0" applyFont="0" applyAlignment="0" applyProtection="0"/>
    <xf numFmtId="0" fontId="175" fillId="49" borderId="37" applyNumberFormat="0" applyFont="0" applyAlignment="0" applyProtection="0"/>
    <xf numFmtId="0" fontId="139" fillId="13" borderId="29" applyNumberFormat="0" applyAlignment="0" applyProtection="0"/>
    <xf numFmtId="0" fontId="139" fillId="13" borderId="29" applyNumberFormat="0" applyAlignment="0" applyProtection="0"/>
    <xf numFmtId="0" fontId="176" fillId="13" borderId="29" applyNumberFormat="0" applyAlignment="0" applyProtection="0"/>
    <xf numFmtId="0" fontId="125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9" fillId="0" borderId="32" applyNumberFormat="0" applyFill="0" applyAlignment="0" applyProtection="0"/>
    <xf numFmtId="0" fontId="180" fillId="0" borderId="32" applyNumberFormat="0" applyFill="0" applyAlignment="0" applyProtection="0"/>
    <xf numFmtId="0" fontId="47" fillId="0" borderId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81" fillId="0" borderId="0" applyNumberFormat="0" applyFill="0" applyBorder="0" applyAlignment="0" applyProtection="0"/>
    <xf numFmtId="0" fontId="142" fillId="0" borderId="0"/>
    <xf numFmtId="187" fontId="47" fillId="0" borderId="0"/>
    <xf numFmtId="187" fontId="47" fillId="0" borderId="0"/>
    <xf numFmtId="187" fontId="47" fillId="0" borderId="0"/>
    <xf numFmtId="0" fontId="10" fillId="0" borderId="0"/>
    <xf numFmtId="0" fontId="10" fillId="0" borderId="0"/>
    <xf numFmtId="0" fontId="125" fillId="0" borderId="0"/>
    <xf numFmtId="0" fontId="142" fillId="0" borderId="0"/>
    <xf numFmtId="0" fontId="10" fillId="0" borderId="0"/>
    <xf numFmtId="0" fontId="125" fillId="0" borderId="0"/>
    <xf numFmtId="0" fontId="10" fillId="0" borderId="0"/>
    <xf numFmtId="0" fontId="125" fillId="0" borderId="0"/>
    <xf numFmtId="0" fontId="10" fillId="0" borderId="0"/>
    <xf numFmtId="0" fontId="183" fillId="0" borderId="0"/>
    <xf numFmtId="0" fontId="183" fillId="0" borderId="0"/>
    <xf numFmtId="0" fontId="142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0" fillId="0" borderId="0"/>
    <xf numFmtId="0" fontId="125" fillId="0" borderId="0"/>
    <xf numFmtId="0" fontId="10" fillId="0" borderId="0"/>
    <xf numFmtId="0" fontId="125" fillId="0" borderId="0"/>
    <xf numFmtId="187" fontId="47" fillId="0" borderId="0"/>
    <xf numFmtId="0" fontId="10" fillId="0" borderId="0"/>
    <xf numFmtId="0" fontId="125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84" fillId="0" borderId="0"/>
    <xf numFmtId="0" fontId="56" fillId="89" borderId="0" applyNumberFormat="0" applyBorder="0" applyAlignment="0" applyProtection="0"/>
    <xf numFmtId="0" fontId="56" fillId="90" borderId="0" applyNumberFormat="0" applyBorder="0" applyAlignment="0" applyProtection="0"/>
    <xf numFmtId="0" fontId="58" fillId="91" borderId="0" applyNumberFormat="0" applyBorder="0" applyAlignment="0" applyProtection="0"/>
    <xf numFmtId="0" fontId="127" fillId="44" borderId="0" applyNumberFormat="0" applyBorder="0" applyAlignment="0" applyProtection="0"/>
    <xf numFmtId="0" fontId="56" fillId="92" borderId="0" applyNumberFormat="0" applyBorder="0" applyAlignment="0" applyProtection="0"/>
    <xf numFmtId="0" fontId="56" fillId="93" borderId="0" applyNumberFormat="0" applyBorder="0" applyAlignment="0" applyProtection="0"/>
    <xf numFmtId="0" fontId="58" fillId="94" borderId="0" applyNumberFormat="0" applyBorder="0" applyAlignment="0" applyProtection="0"/>
    <xf numFmtId="0" fontId="127" fillId="45" borderId="0" applyNumberFormat="0" applyBorder="0" applyAlignment="0" applyProtection="0"/>
    <xf numFmtId="0" fontId="56" fillId="95" borderId="0" applyNumberFormat="0" applyBorder="0" applyAlignment="0" applyProtection="0"/>
    <xf numFmtId="0" fontId="56" fillId="96" borderId="0" applyNumberFormat="0" applyBorder="0" applyAlignment="0" applyProtection="0"/>
    <xf numFmtId="0" fontId="58" fillId="88" borderId="0" applyNumberFormat="0" applyBorder="0" applyAlignment="0" applyProtection="0"/>
    <xf numFmtId="0" fontId="127" fillId="46" borderId="0" applyNumberFormat="0" applyBorder="0" applyAlignment="0" applyProtection="0"/>
    <xf numFmtId="0" fontId="56" fillId="96" borderId="0" applyNumberFormat="0" applyBorder="0" applyAlignment="0" applyProtection="0"/>
    <xf numFmtId="0" fontId="56" fillId="88" borderId="0" applyNumberFormat="0" applyBorder="0" applyAlignment="0" applyProtection="0"/>
    <xf numFmtId="0" fontId="58" fillId="88" borderId="0" applyNumberFormat="0" applyBorder="0" applyAlignment="0" applyProtection="0"/>
    <xf numFmtId="0" fontId="127" fillId="41" borderId="0" applyNumberFormat="0" applyBorder="0" applyAlignment="0" applyProtection="0"/>
    <xf numFmtId="0" fontId="56" fillId="89" borderId="0" applyNumberFormat="0" applyBorder="0" applyAlignment="0" applyProtection="0"/>
    <xf numFmtId="0" fontId="56" fillId="90" borderId="0" applyNumberFormat="0" applyBorder="0" applyAlignment="0" applyProtection="0"/>
    <xf numFmtId="0" fontId="58" fillId="90" borderId="0" applyNumberFormat="0" applyBorder="0" applyAlignment="0" applyProtection="0"/>
    <xf numFmtId="0" fontId="127" fillId="42" borderId="0" applyNumberFormat="0" applyBorder="0" applyAlignment="0" applyProtection="0"/>
    <xf numFmtId="0" fontId="56" fillId="97" borderId="0" applyNumberFormat="0" applyBorder="0" applyAlignment="0" applyProtection="0"/>
    <xf numFmtId="0" fontId="56" fillId="93" borderId="0" applyNumberFormat="0" applyBorder="0" applyAlignment="0" applyProtection="0"/>
    <xf numFmtId="0" fontId="58" fillId="98" borderId="0" applyNumberFormat="0" applyBorder="0" applyAlignment="0" applyProtection="0"/>
    <xf numFmtId="0" fontId="127" fillId="47" borderId="0" applyNumberFormat="0" applyBorder="0" applyAlignment="0" applyProtection="0"/>
    <xf numFmtId="0" fontId="185" fillId="0" borderId="0">
      <alignment horizontal="center" wrapText="1"/>
      <protection locked="0"/>
    </xf>
    <xf numFmtId="198" fontId="15" fillId="0" borderId="0" applyFill="0" applyBorder="0" applyAlignment="0"/>
    <xf numFmtId="199" fontId="15" fillId="0" borderId="0" applyFill="0" applyBorder="0" applyAlignment="0"/>
    <xf numFmtId="200" fontId="15" fillId="0" borderId="0" applyFill="0" applyBorder="0" applyAlignment="0"/>
    <xf numFmtId="201" fontId="15" fillId="0" borderId="0" applyFill="0" applyBorder="0" applyAlignment="0"/>
    <xf numFmtId="202" fontId="15" fillId="0" borderId="0" applyFill="0" applyBorder="0" applyAlignment="0"/>
    <xf numFmtId="198" fontId="15" fillId="0" borderId="0" applyFill="0" applyBorder="0" applyAlignment="0"/>
    <xf numFmtId="203" fontId="15" fillId="0" borderId="0" applyFill="0" applyBorder="0" applyAlignment="0"/>
    <xf numFmtId="199" fontId="15" fillId="0" borderId="0" applyFill="0" applyBorder="0" applyAlignment="0"/>
    <xf numFmtId="198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86" fillId="0" borderId="0" applyNumberFormat="0" applyAlignment="0">
      <alignment horizontal="left"/>
    </xf>
    <xf numFmtId="0" fontId="47" fillId="0" borderId="0" applyNumberFormat="0" applyAlignment="0"/>
    <xf numFmtId="19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4" fontId="15" fillId="0" borderId="0" applyFill="0" applyBorder="0" applyAlignment="0"/>
    <xf numFmtId="0" fontId="78" fillId="99" borderId="0" applyNumberFormat="0" applyBorder="0" applyAlignment="0" applyProtection="0"/>
    <xf numFmtId="0" fontId="78" fillId="100" borderId="0" applyNumberFormat="0" applyBorder="0" applyAlignment="0" applyProtection="0"/>
    <xf numFmtId="0" fontId="78" fillId="101" borderId="0" applyNumberFormat="0" applyBorder="0" applyAlignment="0" applyProtection="0"/>
    <xf numFmtId="198" fontId="19" fillId="0" borderId="0" applyFill="0" applyBorder="0" applyAlignment="0"/>
    <xf numFmtId="199" fontId="19" fillId="0" borderId="0" applyFill="0" applyBorder="0" applyAlignment="0"/>
    <xf numFmtId="198" fontId="19" fillId="0" borderId="0" applyFill="0" applyBorder="0" applyAlignment="0"/>
    <xf numFmtId="203" fontId="19" fillId="0" borderId="0" applyFill="0" applyBorder="0" applyAlignment="0"/>
    <xf numFmtId="199" fontId="19" fillId="0" borderId="0" applyFill="0" applyBorder="0" applyAlignment="0"/>
    <xf numFmtId="0" fontId="96" fillId="0" borderId="55" applyNumberFormat="0" applyAlignment="0" applyProtection="0">
      <alignment horizontal="left" vertical="center"/>
    </xf>
    <xf numFmtId="0" fontId="96" fillId="0" borderId="39">
      <alignment horizontal="left" vertical="center"/>
    </xf>
    <xf numFmtId="198" fontId="182" fillId="0" borderId="0" applyFill="0" applyBorder="0" applyAlignment="0"/>
    <xf numFmtId="199" fontId="182" fillId="0" borderId="0" applyFill="0" applyBorder="0" applyAlignment="0"/>
    <xf numFmtId="198" fontId="182" fillId="0" borderId="0" applyFill="0" applyBorder="0" applyAlignment="0"/>
    <xf numFmtId="203" fontId="182" fillId="0" borderId="0" applyFill="0" applyBorder="0" applyAlignment="0"/>
    <xf numFmtId="199" fontId="182" fillId="0" borderId="0" applyFill="0" applyBorder="0" applyAlignment="0"/>
    <xf numFmtId="204" fontId="125" fillId="0" borderId="0"/>
    <xf numFmtId="0" fontId="10" fillId="0" borderId="0"/>
    <xf numFmtId="0" fontId="4" fillId="0" borderId="0"/>
    <xf numFmtId="0" fontId="173" fillId="0" borderId="0"/>
    <xf numFmtId="0" fontId="173" fillId="0" borderId="0"/>
    <xf numFmtId="0" fontId="173" fillId="0" borderId="0"/>
    <xf numFmtId="0" fontId="10" fillId="0" borderId="0"/>
    <xf numFmtId="0" fontId="187" fillId="0" borderId="0"/>
    <xf numFmtId="9" fontId="125" fillId="0" borderId="0" applyFont="0" applyFill="0" applyBorder="0" applyAlignment="0" applyProtection="0"/>
    <xf numFmtId="4" fontId="188" fillId="87" borderId="23" applyNumberFormat="0" applyProtection="0">
      <alignment vertical="center"/>
    </xf>
    <xf numFmtId="4" fontId="189" fillId="87" borderId="23" applyNumberFormat="0" applyProtection="0">
      <alignment vertical="center"/>
    </xf>
    <xf numFmtId="0" fontId="125" fillId="0" borderId="0"/>
    <xf numFmtId="4" fontId="188" fillId="87" borderId="23" applyNumberFormat="0" applyProtection="0">
      <alignment horizontal="left" vertical="center" indent="1"/>
    </xf>
    <xf numFmtId="0" fontId="188" fillId="87" borderId="23" applyNumberFormat="0" applyProtection="0">
      <alignment horizontal="left" vertical="top" indent="1"/>
    </xf>
    <xf numFmtId="0" fontId="125" fillId="0" borderId="0"/>
    <xf numFmtId="4" fontId="188" fillId="102" borderId="0" applyNumberFormat="0" applyProtection="0">
      <alignment horizontal="left" vertical="center" indent="1"/>
    </xf>
    <xf numFmtId="4" fontId="15" fillId="31" borderId="23" applyNumberFormat="0" applyProtection="0">
      <alignment horizontal="right" vertical="center"/>
    </xf>
    <xf numFmtId="0" fontId="125" fillId="0" borderId="0"/>
    <xf numFmtId="4" fontId="15" fillId="37" borderId="23" applyNumberFormat="0" applyProtection="0">
      <alignment horizontal="right" vertical="center"/>
    </xf>
    <xf numFmtId="0" fontId="125" fillId="0" borderId="0"/>
    <xf numFmtId="4" fontId="15" fillId="45" borderId="23" applyNumberFormat="0" applyProtection="0">
      <alignment horizontal="right" vertical="center"/>
    </xf>
    <xf numFmtId="0" fontId="125" fillId="0" borderId="0"/>
    <xf numFmtId="4" fontId="15" fillId="39" borderId="23" applyNumberFormat="0" applyProtection="0">
      <alignment horizontal="right" vertical="center"/>
    </xf>
    <xf numFmtId="0" fontId="125" fillId="0" borderId="0"/>
    <xf numFmtId="4" fontId="15" fillId="43" borderId="23" applyNumberFormat="0" applyProtection="0">
      <alignment horizontal="right" vertical="center"/>
    </xf>
    <xf numFmtId="0" fontId="125" fillId="0" borderId="0"/>
    <xf numFmtId="4" fontId="15" fillId="47" borderId="23" applyNumberFormat="0" applyProtection="0">
      <alignment horizontal="right" vertical="center"/>
    </xf>
    <xf numFmtId="0" fontId="125" fillId="0" borderId="0"/>
    <xf numFmtId="4" fontId="15" fillId="46" borderId="23" applyNumberFormat="0" applyProtection="0">
      <alignment horizontal="right" vertical="center"/>
    </xf>
    <xf numFmtId="0" fontId="125" fillId="0" borderId="0"/>
    <xf numFmtId="4" fontId="15" fillId="103" borderId="23" applyNumberFormat="0" applyProtection="0">
      <alignment horizontal="right" vertical="center"/>
    </xf>
    <xf numFmtId="0" fontId="125" fillId="0" borderId="0"/>
    <xf numFmtId="4" fontId="15" fillId="38" borderId="23" applyNumberFormat="0" applyProtection="0">
      <alignment horizontal="right" vertical="center"/>
    </xf>
    <xf numFmtId="0" fontId="125" fillId="0" borderId="0"/>
    <xf numFmtId="4" fontId="188" fillId="104" borderId="24" applyNumberFormat="0" applyProtection="0">
      <alignment horizontal="left" vertical="center" indent="1"/>
    </xf>
    <xf numFmtId="4" fontId="15" fillId="105" borderId="0" applyNumberFormat="0" applyProtection="0">
      <alignment horizontal="left" vertical="center" indent="1"/>
    </xf>
    <xf numFmtId="4" fontId="48" fillId="106" borderId="0" applyNumberFormat="0" applyProtection="0">
      <alignment horizontal="left" vertical="center" indent="1"/>
    </xf>
    <xf numFmtId="0" fontId="125" fillId="0" borderId="0"/>
    <xf numFmtId="4" fontId="15" fillId="102" borderId="23" applyNumberFormat="0" applyProtection="0">
      <alignment horizontal="right" vertical="center"/>
    </xf>
    <xf numFmtId="0" fontId="125" fillId="0" borderId="0"/>
    <xf numFmtId="4" fontId="15" fillId="105" borderId="0" applyNumberFormat="0" applyProtection="0">
      <alignment horizontal="left" vertical="center" indent="1"/>
    </xf>
    <xf numFmtId="4" fontId="187" fillId="105" borderId="0" applyNumberFormat="0" applyProtection="0">
      <alignment horizontal="left" vertical="center" indent="1"/>
    </xf>
    <xf numFmtId="4" fontId="15" fillId="102" borderId="0" applyNumberFormat="0" applyProtection="0">
      <alignment horizontal="left" vertical="center" indent="1"/>
    </xf>
    <xf numFmtId="4" fontId="187" fillId="28" borderId="0" applyNumberFormat="0" applyProtection="0">
      <alignment horizontal="left" vertical="center" indent="1"/>
    </xf>
    <xf numFmtId="0" fontId="10" fillId="106" borderId="23" applyNumberFormat="0" applyProtection="0">
      <alignment horizontal="left" vertical="center" indent="1"/>
    </xf>
    <xf numFmtId="0" fontId="125" fillId="17" borderId="23" applyNumberFormat="0" applyProtection="0">
      <alignment horizontal="left" vertical="center" indent="1"/>
    </xf>
    <xf numFmtId="0" fontId="125" fillId="0" borderId="0"/>
    <xf numFmtId="0" fontId="10" fillId="106" borderId="23" applyNumberFormat="0" applyProtection="0">
      <alignment horizontal="left" vertical="top" indent="1"/>
    </xf>
    <xf numFmtId="0" fontId="125" fillId="17" borderId="23" applyNumberFormat="0" applyProtection="0">
      <alignment horizontal="left" vertical="top" indent="1"/>
    </xf>
    <xf numFmtId="0" fontId="125" fillId="17" borderId="23" applyNumberFormat="0" applyProtection="0">
      <alignment horizontal="left" vertical="top" indent="1"/>
    </xf>
    <xf numFmtId="0" fontId="10" fillId="102" borderId="23" applyNumberFormat="0" applyProtection="0">
      <alignment horizontal="left" vertical="center" indent="1"/>
    </xf>
    <xf numFmtId="0" fontId="125" fillId="28" borderId="23" applyNumberFormat="0" applyProtection="0">
      <alignment horizontal="left" vertical="center" indent="1"/>
    </xf>
    <xf numFmtId="0" fontId="125" fillId="0" borderId="0"/>
    <xf numFmtId="0" fontId="10" fillId="102" borderId="23" applyNumberFormat="0" applyProtection="0">
      <alignment horizontal="left" vertical="top" indent="1"/>
    </xf>
    <xf numFmtId="0" fontId="125" fillId="28" borderId="23" applyNumberFormat="0" applyProtection="0">
      <alignment horizontal="left" vertical="top" indent="1"/>
    </xf>
    <xf numFmtId="0" fontId="125" fillId="0" borderId="0"/>
    <xf numFmtId="0" fontId="10" fillId="36" borderId="23" applyNumberFormat="0" applyProtection="0">
      <alignment horizontal="left" vertical="center" indent="1"/>
    </xf>
    <xf numFmtId="0" fontId="125" fillId="8" borderId="23" applyNumberFormat="0" applyProtection="0">
      <alignment horizontal="left" vertical="center" indent="1"/>
    </xf>
    <xf numFmtId="0" fontId="125" fillId="0" borderId="0"/>
    <xf numFmtId="0" fontId="10" fillId="36" borderId="23" applyNumberFormat="0" applyProtection="0">
      <alignment horizontal="left" vertical="top" indent="1"/>
    </xf>
    <xf numFmtId="0" fontId="125" fillId="8" borderId="23" applyNumberFormat="0" applyProtection="0">
      <alignment horizontal="left" vertical="top" indent="1"/>
    </xf>
    <xf numFmtId="0" fontId="125" fillId="0" borderId="0"/>
    <xf numFmtId="0" fontId="10" fillId="105" borderId="23" applyNumberFormat="0" applyProtection="0">
      <alignment horizontal="left" vertical="center" indent="1"/>
    </xf>
    <xf numFmtId="0" fontId="125" fillId="26" borderId="23" applyNumberFormat="0" applyProtection="0">
      <alignment horizontal="left" vertical="center" indent="1"/>
    </xf>
    <xf numFmtId="0" fontId="125" fillId="0" borderId="0"/>
    <xf numFmtId="0" fontId="10" fillId="105" borderId="23" applyNumberFormat="0" applyProtection="0">
      <alignment horizontal="left" vertical="top" indent="1"/>
    </xf>
    <xf numFmtId="0" fontId="125" fillId="26" borderId="23" applyNumberFormat="0" applyProtection="0">
      <alignment horizontal="left" vertical="top" indent="1"/>
    </xf>
    <xf numFmtId="0" fontId="125" fillId="0" borderId="0"/>
    <xf numFmtId="0" fontId="10" fillId="107" borderId="1" applyNumberFormat="0">
      <protection locked="0"/>
    </xf>
    <xf numFmtId="0" fontId="125" fillId="0" borderId="0"/>
    <xf numFmtId="0" fontId="22" fillId="106" borderId="56" applyBorder="0"/>
    <xf numFmtId="4" fontId="15" fillId="49" borderId="23" applyNumberFormat="0" applyProtection="0">
      <alignment vertical="center"/>
    </xf>
    <xf numFmtId="0" fontId="125" fillId="0" borderId="0"/>
    <xf numFmtId="4" fontId="190" fillId="49" borderId="23" applyNumberFormat="0" applyProtection="0">
      <alignment vertical="center"/>
    </xf>
    <xf numFmtId="0" fontId="125" fillId="0" borderId="0"/>
    <xf numFmtId="4" fontId="15" fillId="49" borderId="23" applyNumberFormat="0" applyProtection="0">
      <alignment horizontal="left" vertical="center" indent="1"/>
    </xf>
    <xf numFmtId="0" fontId="125" fillId="0" borderId="0"/>
    <xf numFmtId="0" fontId="15" fillId="49" borderId="23" applyNumberFormat="0" applyProtection="0">
      <alignment horizontal="left" vertical="top" indent="1"/>
    </xf>
    <xf numFmtId="0" fontId="125" fillId="0" borderId="0"/>
    <xf numFmtId="4" fontId="15" fillId="105" borderId="23" applyNumberFormat="0" applyProtection="0">
      <alignment horizontal="right" vertical="center"/>
    </xf>
    <xf numFmtId="4" fontId="15" fillId="105" borderId="23" applyNumberFormat="0" applyProtection="0">
      <alignment horizontal="right" vertical="center"/>
    </xf>
    <xf numFmtId="4" fontId="190" fillId="105" borderId="23" applyNumberFormat="0" applyProtection="0">
      <alignment horizontal="right" vertical="center"/>
    </xf>
    <xf numFmtId="0" fontId="125" fillId="0" borderId="0"/>
    <xf numFmtId="4" fontId="15" fillId="102" borderId="23" applyNumberFormat="0" applyProtection="0">
      <alignment horizontal="left" vertical="center" indent="1"/>
    </xf>
    <xf numFmtId="0" fontId="15" fillId="102" borderId="23" applyNumberFormat="0" applyProtection="0">
      <alignment horizontal="left" vertical="top" indent="1"/>
    </xf>
    <xf numFmtId="0" fontId="125" fillId="0" borderId="0"/>
    <xf numFmtId="4" fontId="191" fillId="108" borderId="0" applyNumberFormat="0" applyProtection="0">
      <alignment horizontal="left" vertical="center" indent="1"/>
    </xf>
    <xf numFmtId="0" fontId="7" fillId="109" borderId="1"/>
    <xf numFmtId="4" fontId="120" fillId="105" borderId="23" applyNumberFormat="0" applyProtection="0">
      <alignment horizontal="right" vertical="center"/>
    </xf>
    <xf numFmtId="0" fontId="125" fillId="0" borderId="0"/>
    <xf numFmtId="0" fontId="192" fillId="0" borderId="0" applyNumberFormat="0" applyFill="0" applyBorder="0" applyAlignment="0" applyProtection="0"/>
    <xf numFmtId="0" fontId="125" fillId="0" borderId="0"/>
    <xf numFmtId="0" fontId="125" fillId="0" borderId="0"/>
    <xf numFmtId="0" fontId="125" fillId="0" borderId="0"/>
    <xf numFmtId="187" fontId="10" fillId="0" borderId="0"/>
    <xf numFmtId="0" fontId="10" fillId="0" borderId="0"/>
    <xf numFmtId="187" fontId="4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1" fillId="0" borderId="0" applyFont="0" applyFill="0" applyBorder="0" applyAlignment="0" applyProtection="0"/>
    <xf numFmtId="194" fontId="121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0" fontId="23" fillId="0" borderId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3" fillId="0" borderId="0" applyProtection="0"/>
    <xf numFmtId="166" fontId="33" fillId="0" borderId="0" applyProtection="0"/>
    <xf numFmtId="167" fontId="33" fillId="0" borderId="0" applyProtection="0"/>
    <xf numFmtId="165" fontId="33" fillId="0" borderId="0" applyProtection="0"/>
    <xf numFmtId="166" fontId="33" fillId="0" borderId="0" applyProtection="0"/>
    <xf numFmtId="167" fontId="33" fillId="0" borderId="0" applyProtection="0"/>
    <xf numFmtId="37" fontId="34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2" fontId="10" fillId="0" borderId="54">
      <protection locked="0"/>
    </xf>
    <xf numFmtId="187" fontId="41" fillId="0" borderId="0">
      <alignment horizontal="left"/>
      <protection locked="0"/>
    </xf>
    <xf numFmtId="37" fontId="7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0" fontId="10" fillId="0" borderId="0"/>
    <xf numFmtId="187" fontId="4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1" fillId="0" borderId="0" applyFont="0" applyFill="0" applyBorder="0" applyAlignment="0" applyProtection="0"/>
    <xf numFmtId="194" fontId="121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0" fontId="23" fillId="0" borderId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3" fillId="0" borderId="0" applyProtection="0"/>
    <xf numFmtId="166" fontId="33" fillId="0" borderId="0" applyProtection="0"/>
    <xf numFmtId="167" fontId="33" fillId="0" borderId="0" applyProtection="0"/>
    <xf numFmtId="165" fontId="33" fillId="0" borderId="0" applyProtection="0"/>
    <xf numFmtId="166" fontId="33" fillId="0" borderId="0" applyProtection="0"/>
    <xf numFmtId="167" fontId="33" fillId="0" borderId="0" applyProtection="0"/>
    <xf numFmtId="37" fontId="34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2" fontId="10" fillId="0" borderId="54">
      <protection locked="0"/>
    </xf>
    <xf numFmtId="2" fontId="121" fillId="0" borderId="0"/>
    <xf numFmtId="187" fontId="41" fillId="0" borderId="0">
      <alignment horizontal="left"/>
      <protection locked="0"/>
    </xf>
    <xf numFmtId="37" fontId="7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187" fontId="10" fillId="0" borderId="0"/>
    <xf numFmtId="0" fontId="4" fillId="62" borderId="50" applyNumberFormat="0" applyFont="0" applyAlignment="0" applyProtection="0"/>
    <xf numFmtId="2" fontId="121" fillId="0" borderId="0"/>
    <xf numFmtId="2" fontId="121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0" fontId="4" fillId="0" borderId="0"/>
    <xf numFmtId="2" fontId="121" fillId="0" borderId="0"/>
    <xf numFmtId="187" fontId="10" fillId="0" borderId="0"/>
    <xf numFmtId="2" fontId="121" fillId="0" borderId="0"/>
    <xf numFmtId="2" fontId="121" fillId="0" borderId="0"/>
    <xf numFmtId="2" fontId="121" fillId="0" borderId="0"/>
    <xf numFmtId="187" fontId="10" fillId="0" borderId="0"/>
    <xf numFmtId="0" fontId="4" fillId="72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87" fontId="47" fillId="0" borderId="0"/>
    <xf numFmtId="168" fontId="33" fillId="0" borderId="0" applyProtection="0"/>
    <xf numFmtId="165" fontId="33" fillId="0" borderId="0" applyProtection="0"/>
    <xf numFmtId="187" fontId="47" fillId="0" borderId="0"/>
    <xf numFmtId="2" fontId="121" fillId="0" borderId="0"/>
    <xf numFmtId="2" fontId="121" fillId="0" borderId="0"/>
    <xf numFmtId="187" fontId="10" fillId="0" borderId="0"/>
    <xf numFmtId="2" fontId="121" fillId="0" borderId="0"/>
    <xf numFmtId="37" fontId="34" fillId="0" borderId="0"/>
    <xf numFmtId="0" fontId="4" fillId="69" borderId="0" applyNumberFormat="0" applyBorder="0" applyAlignment="0" applyProtection="0"/>
    <xf numFmtId="187" fontId="47" fillId="0" borderId="0"/>
    <xf numFmtId="0" fontId="10" fillId="0" borderId="0"/>
    <xf numFmtId="2" fontId="121" fillId="0" borderId="0"/>
    <xf numFmtId="2" fontId="121" fillId="0" borderId="0"/>
    <xf numFmtId="187" fontId="10" fillId="0" borderId="0"/>
    <xf numFmtId="187" fontId="10" fillId="0" borderId="0"/>
    <xf numFmtId="9" fontId="10" fillId="0" borderId="0" applyFont="0" applyFill="0" applyBorder="0" applyAlignment="0" applyProtection="0"/>
    <xf numFmtId="187" fontId="10" fillId="0" borderId="0"/>
    <xf numFmtId="167" fontId="33" fillId="0" borderId="0" applyProtection="0"/>
    <xf numFmtId="0" fontId="10" fillId="49" borderId="37" applyNumberFormat="0" applyFont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182" fontId="10" fillId="0" borderId="0">
      <protection locked="0"/>
    </xf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37" fontId="7" fillId="0" borderId="0"/>
    <xf numFmtId="10" fontId="10" fillId="0" borderId="0" applyFont="0" applyFill="0" applyBorder="0" applyAlignment="0" applyProtection="0"/>
    <xf numFmtId="169" fontId="33" fillId="0" borderId="0" applyProtection="0"/>
    <xf numFmtId="187" fontId="47" fillId="0" borderId="0"/>
    <xf numFmtId="2" fontId="121" fillId="0" borderId="0"/>
    <xf numFmtId="187" fontId="10" fillId="0" borderId="0"/>
    <xf numFmtId="9" fontId="10" fillId="0" borderId="0" applyFont="0" applyFill="0" applyBorder="0" applyAlignment="0" applyProtection="0"/>
    <xf numFmtId="187" fontId="41" fillId="0" borderId="0">
      <alignment horizontal="left"/>
      <protection locked="0"/>
    </xf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187" fontId="47" fillId="0" borderId="0"/>
    <xf numFmtId="167" fontId="33" fillId="0" borderId="0" applyProtection="0"/>
    <xf numFmtId="182" fontId="10" fillId="0" borderId="0">
      <protection locked="0"/>
    </xf>
    <xf numFmtId="187" fontId="47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87" fontId="10" fillId="0" borderId="0"/>
    <xf numFmtId="187" fontId="47" fillId="0" borderId="0"/>
    <xf numFmtId="2" fontId="121" fillId="0" borderId="0"/>
    <xf numFmtId="187" fontId="10" fillId="0" borderId="0"/>
    <xf numFmtId="0" fontId="4" fillId="68" borderId="0" applyNumberFormat="0" applyBorder="0" applyAlignment="0" applyProtection="0"/>
    <xf numFmtId="2" fontId="121" fillId="0" borderId="0"/>
    <xf numFmtId="0" fontId="4" fillId="0" borderId="0"/>
    <xf numFmtId="187" fontId="47" fillId="0" borderId="0"/>
    <xf numFmtId="187" fontId="10" fillId="0" borderId="0"/>
    <xf numFmtId="0" fontId="4" fillId="0" borderId="0"/>
    <xf numFmtId="173" fontId="33" fillId="0" borderId="0" applyProtection="0"/>
    <xf numFmtId="187" fontId="10" fillId="0" borderId="0"/>
    <xf numFmtId="187" fontId="47" fillId="0" borderId="0"/>
    <xf numFmtId="0" fontId="4" fillId="85" borderId="0" applyNumberFormat="0" applyBorder="0" applyAlignment="0" applyProtection="0"/>
    <xf numFmtId="2" fontId="121" fillId="0" borderId="0"/>
    <xf numFmtId="0" fontId="4" fillId="73" borderId="0" applyNumberFormat="0" applyBorder="0" applyAlignment="0" applyProtection="0"/>
    <xf numFmtId="187" fontId="10" fillId="0" borderId="0"/>
    <xf numFmtId="2" fontId="121" fillId="0" borderId="0"/>
    <xf numFmtId="0" fontId="23" fillId="0" borderId="0"/>
    <xf numFmtId="187" fontId="10" fillId="0" borderId="0"/>
    <xf numFmtId="166" fontId="33" fillId="0" borderId="0" applyProtection="0"/>
    <xf numFmtId="0" fontId="4" fillId="0" borderId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4" fontId="121" fillId="0" borderId="52" applyFont="0" applyFill="0" applyBorder="0" applyAlignment="0" applyProtection="0"/>
    <xf numFmtId="187" fontId="47" fillId="0" borderId="0"/>
    <xf numFmtId="187" fontId="47" fillId="0" borderId="0"/>
    <xf numFmtId="0" fontId="10" fillId="0" borderId="0"/>
    <xf numFmtId="187" fontId="10" fillId="0" borderId="0"/>
    <xf numFmtId="2" fontId="121" fillId="0" borderId="0"/>
    <xf numFmtId="187" fontId="10" fillId="0" borderId="0"/>
    <xf numFmtId="0" fontId="10" fillId="0" borderId="0"/>
    <xf numFmtId="187" fontId="4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1" fillId="0" borderId="0" applyFont="0" applyFill="0" applyBorder="0" applyAlignment="0" applyProtection="0"/>
    <xf numFmtId="194" fontId="121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0" fontId="23" fillId="0" borderId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87" fontId="10" fillId="0" borderId="0"/>
    <xf numFmtId="165" fontId="33" fillId="0" borderId="0" applyProtection="0"/>
    <xf numFmtId="166" fontId="33" fillId="0" borderId="0" applyProtection="0"/>
    <xf numFmtId="167" fontId="33" fillId="0" borderId="0" applyProtection="0"/>
    <xf numFmtId="165" fontId="33" fillId="0" borderId="0" applyProtection="0"/>
    <xf numFmtId="166" fontId="33" fillId="0" borderId="0" applyProtection="0"/>
    <xf numFmtId="167" fontId="33" fillId="0" borderId="0" applyProtection="0"/>
    <xf numFmtId="37" fontId="34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2" fontId="10" fillId="0" borderId="54">
      <protection locked="0"/>
    </xf>
    <xf numFmtId="187" fontId="41" fillId="0" borderId="0">
      <alignment horizontal="left"/>
      <protection locked="0"/>
    </xf>
    <xf numFmtId="37" fontId="7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2" fontId="121" fillId="0" borderId="0"/>
    <xf numFmtId="175" fontId="8" fillId="8" borderId="16">
      <alignment horizontal="center" vertical="center"/>
    </xf>
    <xf numFmtId="169" fontId="33" fillId="0" borderId="0" applyProtection="0"/>
    <xf numFmtId="9" fontId="10" fillId="0" borderId="0" applyFont="0" applyFill="0" applyBorder="0" applyAlignment="0" applyProtection="0"/>
    <xf numFmtId="193" fontId="121" fillId="0" borderId="0" applyFont="0" applyFill="0" applyBorder="0" applyAlignment="0" applyProtection="0"/>
    <xf numFmtId="187" fontId="47" fillId="0" borderId="0"/>
    <xf numFmtId="187" fontId="10" fillId="0" borderId="0"/>
    <xf numFmtId="2" fontId="121" fillId="0" borderId="0"/>
    <xf numFmtId="175" fontId="8" fillId="8" borderId="16">
      <alignment horizontal="center" vertical="center"/>
    </xf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47" fillId="0" borderId="0"/>
    <xf numFmtId="166" fontId="33" fillId="0" borderId="0" applyProtection="0"/>
    <xf numFmtId="2" fontId="121" fillId="0" borderId="0"/>
    <xf numFmtId="173" fontId="33" fillId="0" borderId="0" applyProtection="0"/>
    <xf numFmtId="9" fontId="10" fillId="0" borderId="0" applyFont="0" applyFill="0" applyBorder="0" applyAlignment="0" applyProtection="0"/>
    <xf numFmtId="1" fontId="25" fillId="12" borderId="20" applyNumberFormat="0" applyBorder="0" applyAlignment="0">
      <alignment horizontal="centerContinuous" vertical="center"/>
      <protection locked="0"/>
    </xf>
    <xf numFmtId="165" fontId="33" fillId="0" borderId="0" applyProtection="0"/>
    <xf numFmtId="43" fontId="10" fillId="0" borderId="0" applyFont="0" applyFill="0" applyBorder="0" applyAlignment="0" applyProtection="0"/>
    <xf numFmtId="187" fontId="10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187" fontId="10" fillId="0" borderId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1" fillId="0" borderId="0"/>
    <xf numFmtId="187" fontId="10" fillId="0" borderId="0"/>
    <xf numFmtId="2" fontId="121" fillId="0" borderId="0"/>
    <xf numFmtId="187" fontId="10" fillId="0" borderId="0"/>
    <xf numFmtId="0" fontId="4" fillId="0" borderId="0"/>
    <xf numFmtId="0" fontId="4" fillId="0" borderId="0"/>
    <xf numFmtId="2" fontId="121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10" fillId="0" borderId="0"/>
    <xf numFmtId="43" fontId="10" fillId="0" borderId="0" applyFont="0" applyFill="0" applyBorder="0" applyAlignment="0" applyProtection="0"/>
    <xf numFmtId="187" fontId="10" fillId="0" borderId="0"/>
    <xf numFmtId="187" fontId="47" fillId="0" borderId="0"/>
    <xf numFmtId="181" fontId="10" fillId="0" borderId="0">
      <protection locked="0"/>
    </xf>
    <xf numFmtId="187" fontId="10" fillId="0" borderId="0"/>
    <xf numFmtId="187" fontId="47" fillId="0" borderId="0"/>
    <xf numFmtId="43" fontId="10" fillId="0" borderId="0" applyFont="0" applyFill="0" applyBorder="0" applyAlignment="0" applyProtection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187" fontId="47" fillId="0" borderId="0"/>
    <xf numFmtId="2" fontId="121" fillId="0" borderId="0"/>
    <xf numFmtId="187" fontId="47" fillId="0" borderId="0"/>
    <xf numFmtId="2" fontId="121" fillId="0" borderId="0"/>
    <xf numFmtId="0" fontId="10" fillId="0" borderId="0"/>
    <xf numFmtId="43" fontId="10" fillId="0" borderId="0" applyFont="0" applyFill="0" applyBorder="0" applyAlignment="0" applyProtection="0"/>
    <xf numFmtId="2" fontId="121" fillId="0" borderId="0"/>
    <xf numFmtId="0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2" fontId="121" fillId="0" borderId="0"/>
    <xf numFmtId="2" fontId="121" fillId="0" borderId="0"/>
    <xf numFmtId="187" fontId="10" fillId="0" borderId="0"/>
    <xf numFmtId="0" fontId="4" fillId="76" borderId="0" applyNumberFormat="0" applyBorder="0" applyAlignment="0" applyProtection="0"/>
    <xf numFmtId="187" fontId="47" fillId="0" borderId="0"/>
    <xf numFmtId="2" fontId="121" fillId="0" borderId="0"/>
    <xf numFmtId="182" fontId="10" fillId="0" borderId="54">
      <protection locked="0"/>
    </xf>
    <xf numFmtId="187" fontId="10" fillId="0" borderId="0"/>
    <xf numFmtId="2" fontId="121" fillId="0" borderId="0"/>
    <xf numFmtId="0" fontId="4" fillId="84" borderId="0" applyNumberFormat="0" applyBorder="0" applyAlignment="0" applyProtection="0"/>
    <xf numFmtId="168" fontId="33" fillId="0" borderId="0" applyProtection="0"/>
    <xf numFmtId="0" fontId="4" fillId="64" borderId="0" applyNumberFormat="0" applyBorder="0" applyAlignment="0" applyProtection="0"/>
    <xf numFmtId="2" fontId="121" fillId="0" borderId="0"/>
    <xf numFmtId="2" fontId="121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2" fontId="121" fillId="0" borderId="0"/>
    <xf numFmtId="187" fontId="10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1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2" fontId="121" fillId="0" borderId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1" fillId="0" borderId="0"/>
    <xf numFmtId="2" fontId="121" fillId="0" borderId="0"/>
    <xf numFmtId="0" fontId="4" fillId="0" borderId="0"/>
    <xf numFmtId="2" fontId="121" fillId="0" borderId="0"/>
    <xf numFmtId="187" fontId="10" fillId="0" borderId="0"/>
    <xf numFmtId="0" fontId="4" fillId="0" borderId="0"/>
    <xf numFmtId="187" fontId="10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1" fillId="0" borderId="0"/>
    <xf numFmtId="2" fontId="121" fillId="0" borderId="0"/>
    <xf numFmtId="2" fontId="121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2" fontId="121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2" fontId="121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10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2" fontId="121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187" fontId="10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10" fillId="0" borderId="0"/>
    <xf numFmtId="187" fontId="10" fillId="0" borderId="0"/>
    <xf numFmtId="187" fontId="10" fillId="0" borderId="0"/>
    <xf numFmtId="2" fontId="121" fillId="0" borderId="0"/>
    <xf numFmtId="2" fontId="121" fillId="0" borderId="0"/>
    <xf numFmtId="187" fontId="10" fillId="0" borderId="0"/>
    <xf numFmtId="2" fontId="121" fillId="0" borderId="0"/>
    <xf numFmtId="2" fontId="121" fillId="0" borderId="0"/>
    <xf numFmtId="2" fontId="121" fillId="0" borderId="0"/>
    <xf numFmtId="187" fontId="10" fillId="0" borderId="0"/>
    <xf numFmtId="2" fontId="121" fillId="0" borderId="0"/>
    <xf numFmtId="187" fontId="10" fillId="0" borderId="0"/>
    <xf numFmtId="2" fontId="121" fillId="0" borderId="0"/>
    <xf numFmtId="187" fontId="10" fillId="0" borderId="0"/>
    <xf numFmtId="2" fontId="121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1" fillId="0" borderId="0"/>
    <xf numFmtId="2" fontId="121" fillId="0" borderId="0"/>
    <xf numFmtId="0" fontId="4" fillId="0" borderId="0"/>
    <xf numFmtId="2" fontId="121" fillId="0" borderId="0"/>
    <xf numFmtId="2" fontId="121" fillId="0" borderId="0"/>
    <xf numFmtId="0" fontId="4" fillId="0" borderId="0"/>
    <xf numFmtId="187" fontId="10" fillId="0" borderId="0"/>
    <xf numFmtId="0" fontId="10" fillId="0" borderId="0"/>
    <xf numFmtId="187" fontId="4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75" fontId="8" fillId="8" borderId="16">
      <alignment horizontal="center" vertical="center"/>
    </xf>
    <xf numFmtId="175" fontId="8" fillId="8" borderId="16">
      <alignment horizontal="center" vertical="center"/>
    </xf>
    <xf numFmtId="193" fontId="121" fillId="0" borderId="0" applyFont="0" applyFill="0" applyBorder="0" applyAlignment="0" applyProtection="0"/>
    <xf numFmtId="194" fontId="121" fillId="0" borderId="52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3" fillId="0" borderId="0"/>
    <xf numFmtId="1" fontId="25" fillId="12" borderId="20" applyNumberFormat="0" applyBorder="0" applyAlignment="0">
      <alignment horizontal="centerContinuous" vertical="center"/>
      <protection locked="0"/>
    </xf>
    <xf numFmtId="181" fontId="10" fillId="0" borderId="0">
      <protection locked="0"/>
    </xf>
    <xf numFmtId="182" fontId="10" fillId="0" borderId="0">
      <protection locked="0"/>
    </xf>
    <xf numFmtId="182" fontId="10" fillId="0" borderId="0">
      <protection locked="0"/>
    </xf>
    <xf numFmtId="165" fontId="33" fillId="0" borderId="0" applyProtection="0"/>
    <xf numFmtId="166" fontId="33" fillId="0" borderId="0" applyProtection="0"/>
    <xf numFmtId="167" fontId="33" fillId="0" borderId="0" applyProtection="0"/>
    <xf numFmtId="165" fontId="33" fillId="0" borderId="0" applyProtection="0"/>
    <xf numFmtId="166" fontId="33" fillId="0" borderId="0" applyProtection="0"/>
    <xf numFmtId="167" fontId="33" fillId="0" borderId="0" applyProtection="0"/>
    <xf numFmtId="37" fontId="34" fillId="0" borderId="0"/>
    <xf numFmtId="0" fontId="10" fillId="49" borderId="37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68" fontId="33" fillId="0" borderId="0" applyProtection="0"/>
    <xf numFmtId="169" fontId="33" fillId="0" borderId="0" applyProtection="0"/>
    <xf numFmtId="173" fontId="33" fillId="0" borderId="0" applyProtection="0"/>
    <xf numFmtId="187" fontId="47" fillId="0" borderId="0"/>
    <xf numFmtId="187" fontId="47" fillId="0" borderId="0"/>
    <xf numFmtId="187" fontId="47" fillId="0" borderId="0"/>
    <xf numFmtId="187" fontId="47" fillId="0" borderId="0"/>
    <xf numFmtId="187" fontId="47" fillId="0" borderId="0"/>
    <xf numFmtId="182" fontId="10" fillId="0" borderId="54">
      <protection locked="0"/>
    </xf>
    <xf numFmtId="187" fontId="41" fillId="0" borderId="0">
      <alignment horizontal="left"/>
      <protection locked="0"/>
    </xf>
    <xf numFmtId="37" fontId="7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187" fontId="10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2" fontId="121" fillId="0" borderId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187" fontId="10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187" fontId="10" fillId="0" borderId="0"/>
    <xf numFmtId="2" fontId="121" fillId="0" borderId="0"/>
    <xf numFmtId="187" fontId="10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126" fillId="30" borderId="0" applyNumberFormat="0" applyBorder="0" applyAlignment="0" applyProtection="0"/>
    <xf numFmtId="0" fontId="126" fillId="31" borderId="0" applyNumberFormat="0" applyBorder="0" applyAlignment="0" applyProtection="0"/>
    <xf numFmtId="0" fontId="126" fillId="32" borderId="0" applyNumberFormat="0" applyBorder="0" applyAlignment="0" applyProtection="0"/>
    <xf numFmtId="0" fontId="126" fillId="33" borderId="0" applyNumberFormat="0" applyBorder="0" applyAlignment="0" applyProtection="0"/>
    <xf numFmtId="0" fontId="126" fillId="34" borderId="0" applyNumberFormat="0" applyBorder="0" applyAlignment="0" applyProtection="0"/>
    <xf numFmtId="0" fontId="126" fillId="35" borderId="0" applyNumberFormat="0" applyBorder="0" applyAlignment="0" applyProtection="0"/>
    <xf numFmtId="0" fontId="126" fillId="36" borderId="0" applyNumberFormat="0" applyBorder="0" applyAlignment="0" applyProtection="0"/>
    <xf numFmtId="0" fontId="126" fillId="37" borderId="0" applyNumberFormat="0" applyBorder="0" applyAlignment="0" applyProtection="0"/>
    <xf numFmtId="0" fontId="126" fillId="38" borderId="0" applyNumberFormat="0" applyBorder="0" applyAlignment="0" applyProtection="0"/>
    <xf numFmtId="0" fontId="126" fillId="33" borderId="0" applyNumberFormat="0" applyBorder="0" applyAlignment="0" applyProtection="0"/>
    <xf numFmtId="0" fontId="126" fillId="36" borderId="0" applyNumberFormat="0" applyBorder="0" applyAlignment="0" applyProtection="0"/>
    <xf numFmtId="0" fontId="126" fillId="39" borderId="0" applyNumberFormat="0" applyBorder="0" applyAlignment="0" applyProtection="0"/>
    <xf numFmtId="0" fontId="127" fillId="40" borderId="0" applyNumberFormat="0" applyBorder="0" applyAlignment="0" applyProtection="0"/>
    <xf numFmtId="0" fontId="127" fillId="37" borderId="0" applyNumberFormat="0" applyBorder="0" applyAlignment="0" applyProtection="0"/>
    <xf numFmtId="0" fontId="127" fillId="38" borderId="0" applyNumberFormat="0" applyBorder="0" applyAlignment="0" applyProtection="0"/>
    <xf numFmtId="0" fontId="127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3" borderId="0" applyNumberFormat="0" applyBorder="0" applyAlignment="0" applyProtection="0"/>
    <xf numFmtId="0" fontId="127" fillId="44" borderId="0" applyNumberFormat="0" applyBorder="0" applyAlignment="0" applyProtection="0"/>
    <xf numFmtId="0" fontId="127" fillId="45" borderId="0" applyNumberFormat="0" applyBorder="0" applyAlignment="0" applyProtection="0"/>
    <xf numFmtId="0" fontId="127" fillId="46" borderId="0" applyNumberFormat="0" applyBorder="0" applyAlignment="0" applyProtection="0"/>
    <xf numFmtId="0" fontId="127" fillId="41" borderId="0" applyNumberFormat="0" applyBorder="0" applyAlignment="0" applyProtection="0"/>
    <xf numFmtId="0" fontId="127" fillId="42" borderId="0" applyNumberFormat="0" applyBorder="0" applyAlignment="0" applyProtection="0"/>
    <xf numFmtId="0" fontId="127" fillId="47" borderId="0" applyNumberFormat="0" applyBorder="0" applyAlignment="0" applyProtection="0"/>
    <xf numFmtId="0" fontId="128" fillId="31" borderId="0" applyNumberFormat="0" applyBorder="0" applyAlignment="0" applyProtection="0"/>
    <xf numFmtId="0" fontId="129" fillId="13" borderId="30" applyNumberFormat="0" applyAlignment="0" applyProtection="0"/>
    <xf numFmtId="0" fontId="130" fillId="48" borderId="31" applyNumberFormat="0" applyAlignment="0" applyProtection="0"/>
    <xf numFmtId="43" fontId="10" fillId="0" borderId="0" applyFont="0" applyFill="0" applyBorder="0" applyAlignment="0" applyProtection="0"/>
    <xf numFmtId="2" fontId="121" fillId="0" borderId="0"/>
    <xf numFmtId="41" fontId="15" fillId="0" borderId="0" applyProtection="0"/>
    <xf numFmtId="43" fontId="15" fillId="0" borderId="0" applyProtection="0"/>
    <xf numFmtId="41" fontId="19" fillId="0" borderId="0" applyProtection="0"/>
    <xf numFmtId="43" fontId="19" fillId="0" borderId="0" applyProtection="0"/>
    <xf numFmtId="0" fontId="131" fillId="0" borderId="0" applyNumberFormat="0" applyFill="0" applyBorder="0" applyAlignment="0" applyProtection="0"/>
    <xf numFmtId="0" fontId="132" fillId="32" borderId="0" applyNumberFormat="0" applyBorder="0" applyAlignment="0" applyProtection="0"/>
    <xf numFmtId="0" fontId="133" fillId="0" borderId="33" applyNumberFormat="0" applyFill="0" applyAlignment="0" applyProtection="0"/>
    <xf numFmtId="0" fontId="134" fillId="0" borderId="34" applyNumberFormat="0" applyFill="0" applyAlignment="0" applyProtection="0"/>
    <xf numFmtId="0" fontId="135" fillId="0" borderId="35" applyNumberFormat="0" applyFill="0" applyAlignment="0" applyProtection="0"/>
    <xf numFmtId="0" fontId="135" fillId="0" borderId="0" applyNumberFormat="0" applyFill="0" applyBorder="0" applyAlignment="0" applyProtection="0"/>
    <xf numFmtId="0" fontId="136" fillId="35" borderId="30" applyNumberFormat="0" applyAlignment="0" applyProtection="0"/>
    <xf numFmtId="0" fontId="137" fillId="0" borderId="36" applyNumberFormat="0" applyFill="0" applyAlignment="0" applyProtection="0"/>
    <xf numFmtId="2" fontId="121" fillId="0" borderId="0"/>
    <xf numFmtId="0" fontId="139" fillId="13" borderId="29" applyNumberFormat="0" applyAlignment="0" applyProtection="0"/>
    <xf numFmtId="0" fontId="140" fillId="0" borderId="0" applyNumberFormat="0" applyFill="0" applyBorder="0" applyAlignment="0" applyProtection="0"/>
    <xf numFmtId="187" fontId="10" fillId="0" borderId="0"/>
    <xf numFmtId="0" fontId="174" fillId="64" borderId="0" applyNumberFormat="0" applyBorder="0" applyAlignment="0" applyProtection="0"/>
    <xf numFmtId="0" fontId="174" fillId="68" borderId="0" applyNumberFormat="0" applyBorder="0" applyAlignment="0" applyProtection="0"/>
    <xf numFmtId="0" fontId="174" fillId="72" borderId="0" applyNumberFormat="0" applyBorder="0" applyAlignment="0" applyProtection="0"/>
    <xf numFmtId="2" fontId="121" fillId="0" borderId="0"/>
    <xf numFmtId="0" fontId="174" fillId="76" borderId="0" applyNumberFormat="0" applyBorder="0" applyAlignment="0" applyProtection="0"/>
    <xf numFmtId="0" fontId="174" fillId="80" borderId="0" applyNumberFormat="0" applyBorder="0" applyAlignment="0" applyProtection="0"/>
    <xf numFmtId="0" fontId="174" fillId="84" borderId="0" applyNumberFormat="0" applyBorder="0" applyAlignment="0" applyProtection="0"/>
    <xf numFmtId="0" fontId="174" fillId="65" borderId="0" applyNumberFormat="0" applyBorder="0" applyAlignment="0" applyProtection="0"/>
    <xf numFmtId="0" fontId="174" fillId="69" borderId="0" applyNumberFormat="0" applyBorder="0" applyAlignment="0" applyProtection="0"/>
    <xf numFmtId="0" fontId="174" fillId="73" borderId="0" applyNumberFormat="0" applyBorder="0" applyAlignment="0" applyProtection="0"/>
    <xf numFmtId="0" fontId="174" fillId="77" borderId="0" applyNumberFormat="0" applyBorder="0" applyAlignment="0" applyProtection="0"/>
    <xf numFmtId="0" fontId="174" fillId="81" borderId="0" applyNumberFormat="0" applyBorder="0" applyAlignment="0" applyProtection="0"/>
    <xf numFmtId="0" fontId="174" fillId="85" borderId="0" applyNumberFormat="0" applyBorder="0" applyAlignment="0" applyProtection="0"/>
    <xf numFmtId="0" fontId="194" fillId="66" borderId="0" applyNumberFormat="0" applyBorder="0" applyAlignment="0" applyProtection="0"/>
    <xf numFmtId="0" fontId="194" fillId="70" borderId="0" applyNumberFormat="0" applyBorder="0" applyAlignment="0" applyProtection="0"/>
    <xf numFmtId="0" fontId="194" fillId="74" borderId="0" applyNumberFormat="0" applyBorder="0" applyAlignment="0" applyProtection="0"/>
    <xf numFmtId="0" fontId="194" fillId="78" borderId="0" applyNumberFormat="0" applyBorder="0" applyAlignment="0" applyProtection="0"/>
    <xf numFmtId="0" fontId="194" fillId="82" borderId="0" applyNumberFormat="0" applyBorder="0" applyAlignment="0" applyProtection="0"/>
    <xf numFmtId="0" fontId="194" fillId="86" borderId="0" applyNumberFormat="0" applyBorder="0" applyAlignment="0" applyProtection="0"/>
    <xf numFmtId="0" fontId="194" fillId="63" borderId="0" applyNumberFormat="0" applyBorder="0" applyAlignment="0" applyProtection="0"/>
    <xf numFmtId="0" fontId="194" fillId="67" borderId="0" applyNumberFormat="0" applyBorder="0" applyAlignment="0" applyProtection="0"/>
    <xf numFmtId="0" fontId="194" fillId="71" borderId="0" applyNumberFormat="0" applyBorder="0" applyAlignment="0" applyProtection="0"/>
    <xf numFmtId="0" fontId="194" fillId="75" borderId="0" applyNumberFormat="0" applyBorder="0" applyAlignment="0" applyProtection="0"/>
    <xf numFmtId="0" fontId="194" fillId="79" borderId="0" applyNumberFormat="0" applyBorder="0" applyAlignment="0" applyProtection="0"/>
    <xf numFmtId="0" fontId="194" fillId="83" borderId="0" applyNumberFormat="0" applyBorder="0" applyAlignment="0" applyProtection="0"/>
    <xf numFmtId="0" fontId="195" fillId="57" borderId="0" applyNumberFormat="0" applyBorder="0" applyAlignment="0" applyProtection="0"/>
    <xf numFmtId="0" fontId="196" fillId="60" borderId="46" applyNumberFormat="0" applyAlignment="0" applyProtection="0"/>
    <xf numFmtId="0" fontId="197" fillId="61" borderId="49" applyNumberFormat="0" applyAlignment="0" applyProtection="0"/>
    <xf numFmtId="43" fontId="125" fillId="0" borderId="0" applyFont="0" applyFill="0" applyBorder="0" applyAlignment="0" applyProtection="0"/>
    <xf numFmtId="0" fontId="198" fillId="0" borderId="0" applyNumberFormat="0" applyFill="0" applyBorder="0" applyAlignment="0" applyProtection="0"/>
    <xf numFmtId="0" fontId="199" fillId="56" borderId="0" applyNumberFormat="0" applyBorder="0" applyAlignment="0" applyProtection="0"/>
    <xf numFmtId="0" fontId="200" fillId="0" borderId="43" applyNumberFormat="0" applyFill="0" applyAlignment="0" applyProtection="0"/>
    <xf numFmtId="0" fontId="201" fillId="0" borderId="44" applyNumberFormat="0" applyFill="0" applyAlignment="0" applyProtection="0"/>
    <xf numFmtId="0" fontId="202" fillId="0" borderId="45" applyNumberFormat="0" applyFill="0" applyAlignment="0" applyProtection="0"/>
    <xf numFmtId="0" fontId="202" fillId="0" borderId="0" applyNumberFormat="0" applyFill="0" applyBorder="0" applyAlignment="0" applyProtection="0"/>
    <xf numFmtId="0" fontId="203" fillId="59" borderId="46" applyNumberFormat="0" applyAlignment="0" applyProtection="0"/>
    <xf numFmtId="0" fontId="204" fillId="35" borderId="30" applyNumberFormat="0" applyAlignment="0" applyProtection="0"/>
    <xf numFmtId="0" fontId="205" fillId="0" borderId="48" applyNumberFormat="0" applyFill="0" applyAlignment="0" applyProtection="0"/>
    <xf numFmtId="0" fontId="206" fillId="58" borderId="0" applyNumberFormat="0" applyBorder="0" applyAlignment="0" applyProtection="0"/>
    <xf numFmtId="0" fontId="174" fillId="62" borderId="50" applyNumberFormat="0" applyFont="0" applyAlignment="0" applyProtection="0"/>
    <xf numFmtId="0" fontId="125" fillId="49" borderId="37" applyNumberFormat="0" applyFont="0" applyAlignment="0" applyProtection="0"/>
    <xf numFmtId="0" fontId="207" fillId="60" borderId="47" applyNumberFormat="0" applyAlignment="0" applyProtection="0"/>
    <xf numFmtId="0" fontId="208" fillId="0" borderId="0" applyNumberFormat="0" applyFill="0" applyBorder="0" applyAlignment="0" applyProtection="0"/>
    <xf numFmtId="0" fontId="209" fillId="0" borderId="51" applyNumberFormat="0" applyFill="0" applyAlignment="0" applyProtection="0"/>
    <xf numFmtId="0" fontId="179" fillId="0" borderId="32" applyNumberFormat="0" applyFill="0" applyAlignment="0" applyProtection="0"/>
    <xf numFmtId="0" fontId="210" fillId="0" borderId="0" applyNumberFormat="0" applyFill="0" applyBorder="0" applyAlignment="0" applyProtection="0"/>
    <xf numFmtId="2" fontId="121" fillId="0" borderId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0" fontId="125" fillId="0" borderId="0"/>
    <xf numFmtId="175" fontId="193" fillId="8" borderId="16">
      <alignment horizontal="center" vertical="center"/>
    </xf>
    <xf numFmtId="181" fontId="125" fillId="0" borderId="0">
      <protection locked="0"/>
    </xf>
    <xf numFmtId="182" fontId="125" fillId="0" borderId="0">
      <protection locked="0"/>
    </xf>
    <xf numFmtId="182" fontId="125" fillId="0" borderId="0">
      <protection locked="0"/>
    </xf>
    <xf numFmtId="165" fontId="163" fillId="0" borderId="0" applyProtection="0"/>
    <xf numFmtId="166" fontId="163" fillId="0" borderId="0" applyProtection="0"/>
    <xf numFmtId="167" fontId="163" fillId="0" borderId="0" applyProtection="0"/>
    <xf numFmtId="165" fontId="163" fillId="0" borderId="0" applyProtection="0"/>
    <xf numFmtId="166" fontId="163" fillId="0" borderId="0" applyProtection="0"/>
    <xf numFmtId="167" fontId="163" fillId="0" borderId="0" applyProtection="0"/>
    <xf numFmtId="10" fontId="125" fillId="0" borderId="0" applyFont="0" applyFill="0" applyBorder="0" applyAlignment="0" applyProtection="0"/>
    <xf numFmtId="9" fontId="173" fillId="0" borderId="0" applyFont="0" applyFill="0" applyBorder="0" applyAlignment="0" applyProtection="0"/>
    <xf numFmtId="9" fontId="4" fillId="0" borderId="0" applyFont="0" applyFill="0" applyBorder="0" applyAlignment="0" applyProtection="0"/>
    <xf numFmtId="168" fontId="163" fillId="0" borderId="0" applyProtection="0"/>
    <xf numFmtId="169" fontId="163" fillId="0" borderId="0" applyProtection="0"/>
    <xf numFmtId="173" fontId="163" fillId="0" borderId="0" applyProtection="0"/>
    <xf numFmtId="168" fontId="163" fillId="0" borderId="0" applyProtection="0"/>
    <xf numFmtId="169" fontId="163" fillId="0" borderId="0" applyProtection="0"/>
    <xf numFmtId="173" fontId="163" fillId="0" borderId="0" applyProtection="0"/>
    <xf numFmtId="2" fontId="121" fillId="0" borderId="0"/>
    <xf numFmtId="2" fontId="121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64" borderId="0" applyNumberFormat="0" applyBorder="0" applyAlignment="0" applyProtection="0"/>
    <xf numFmtId="0" fontId="174" fillId="64" borderId="0" applyNumberFormat="0" applyBorder="0" applyAlignment="0" applyProtection="0"/>
    <xf numFmtId="0" fontId="4" fillId="68" borderId="0" applyNumberFormat="0" applyBorder="0" applyAlignment="0" applyProtection="0"/>
    <xf numFmtId="0" fontId="174" fillId="68" borderId="0" applyNumberFormat="0" applyBorder="0" applyAlignment="0" applyProtection="0"/>
    <xf numFmtId="0" fontId="4" fillId="72" borderId="0" applyNumberFormat="0" applyBorder="0" applyAlignment="0" applyProtection="0"/>
    <xf numFmtId="0" fontId="174" fillId="72" borderId="0" applyNumberFormat="0" applyBorder="0" applyAlignment="0" applyProtection="0"/>
    <xf numFmtId="0" fontId="4" fillId="76" borderId="0" applyNumberFormat="0" applyBorder="0" applyAlignment="0" applyProtection="0"/>
    <xf numFmtId="0" fontId="174" fillId="76" borderId="0" applyNumberFormat="0" applyBorder="0" applyAlignment="0" applyProtection="0"/>
    <xf numFmtId="0" fontId="4" fillId="80" borderId="0" applyNumberFormat="0" applyBorder="0" applyAlignment="0" applyProtection="0"/>
    <xf numFmtId="0" fontId="174" fillId="80" borderId="0" applyNumberFormat="0" applyBorder="0" applyAlignment="0" applyProtection="0"/>
    <xf numFmtId="0" fontId="4" fillId="84" borderId="0" applyNumberFormat="0" applyBorder="0" applyAlignment="0" applyProtection="0"/>
    <xf numFmtId="0" fontId="174" fillId="84" borderId="0" applyNumberFormat="0" applyBorder="0" applyAlignment="0" applyProtection="0"/>
    <xf numFmtId="0" fontId="4" fillId="65" borderId="0" applyNumberFormat="0" applyBorder="0" applyAlignment="0" applyProtection="0"/>
    <xf numFmtId="0" fontId="174" fillId="65" borderId="0" applyNumberFormat="0" applyBorder="0" applyAlignment="0" applyProtection="0"/>
    <xf numFmtId="0" fontId="4" fillId="69" borderId="0" applyNumberFormat="0" applyBorder="0" applyAlignment="0" applyProtection="0"/>
    <xf numFmtId="0" fontId="174" fillId="69" borderId="0" applyNumberFormat="0" applyBorder="0" applyAlignment="0" applyProtection="0"/>
    <xf numFmtId="0" fontId="4" fillId="73" borderId="0" applyNumberFormat="0" applyBorder="0" applyAlignment="0" applyProtection="0"/>
    <xf numFmtId="0" fontId="174" fillId="73" borderId="0" applyNumberFormat="0" applyBorder="0" applyAlignment="0" applyProtection="0"/>
    <xf numFmtId="0" fontId="4" fillId="77" borderId="0" applyNumberFormat="0" applyBorder="0" applyAlignment="0" applyProtection="0"/>
    <xf numFmtId="0" fontId="174" fillId="77" borderId="0" applyNumberFormat="0" applyBorder="0" applyAlignment="0" applyProtection="0"/>
    <xf numFmtId="0" fontId="4" fillId="81" borderId="0" applyNumberFormat="0" applyBorder="0" applyAlignment="0" applyProtection="0"/>
    <xf numFmtId="0" fontId="174" fillId="81" borderId="0" applyNumberFormat="0" applyBorder="0" applyAlignment="0" applyProtection="0"/>
    <xf numFmtId="0" fontId="4" fillId="85" borderId="0" applyNumberFormat="0" applyBorder="0" applyAlignment="0" applyProtection="0"/>
    <xf numFmtId="0" fontId="174" fillId="85" borderId="0" applyNumberFormat="0" applyBorder="0" applyAlignment="0" applyProtection="0"/>
    <xf numFmtId="0" fontId="156" fillId="66" borderId="0" applyNumberFormat="0" applyBorder="0" applyAlignment="0" applyProtection="0"/>
    <xf numFmtId="0" fontId="194" fillId="66" borderId="0" applyNumberFormat="0" applyBorder="0" applyAlignment="0" applyProtection="0"/>
    <xf numFmtId="0" fontId="156" fillId="70" borderId="0" applyNumberFormat="0" applyBorder="0" applyAlignment="0" applyProtection="0"/>
    <xf numFmtId="0" fontId="194" fillId="70" borderId="0" applyNumberFormat="0" applyBorder="0" applyAlignment="0" applyProtection="0"/>
    <xf numFmtId="0" fontId="156" fillId="74" borderId="0" applyNumberFormat="0" applyBorder="0" applyAlignment="0" applyProtection="0"/>
    <xf numFmtId="0" fontId="194" fillId="74" borderId="0" applyNumberFormat="0" applyBorder="0" applyAlignment="0" applyProtection="0"/>
    <xf numFmtId="0" fontId="156" fillId="78" borderId="0" applyNumberFormat="0" applyBorder="0" applyAlignment="0" applyProtection="0"/>
    <xf numFmtId="0" fontId="194" fillId="78" borderId="0" applyNumberFormat="0" applyBorder="0" applyAlignment="0" applyProtection="0"/>
    <xf numFmtId="0" fontId="156" fillId="82" borderId="0" applyNumberFormat="0" applyBorder="0" applyAlignment="0" applyProtection="0"/>
    <xf numFmtId="0" fontId="194" fillId="82" borderId="0" applyNumberFormat="0" applyBorder="0" applyAlignment="0" applyProtection="0"/>
    <xf numFmtId="0" fontId="156" fillId="86" borderId="0" applyNumberFormat="0" applyBorder="0" applyAlignment="0" applyProtection="0"/>
    <xf numFmtId="0" fontId="194" fillId="86" borderId="0" applyNumberFormat="0" applyBorder="0" applyAlignment="0" applyProtection="0"/>
    <xf numFmtId="0" fontId="156" fillId="63" borderId="0" applyNumberFormat="0" applyBorder="0" applyAlignment="0" applyProtection="0"/>
    <xf numFmtId="0" fontId="194" fillId="63" borderId="0" applyNumberFormat="0" applyBorder="0" applyAlignment="0" applyProtection="0"/>
    <xf numFmtId="0" fontId="156" fillId="67" borderId="0" applyNumberFormat="0" applyBorder="0" applyAlignment="0" applyProtection="0"/>
    <xf numFmtId="0" fontId="194" fillId="67" borderId="0" applyNumberFormat="0" applyBorder="0" applyAlignment="0" applyProtection="0"/>
    <xf numFmtId="0" fontId="156" fillId="71" borderId="0" applyNumberFormat="0" applyBorder="0" applyAlignment="0" applyProtection="0"/>
    <xf numFmtId="0" fontId="194" fillId="71" borderId="0" applyNumberFormat="0" applyBorder="0" applyAlignment="0" applyProtection="0"/>
    <xf numFmtId="0" fontId="156" fillId="75" borderId="0" applyNumberFormat="0" applyBorder="0" applyAlignment="0" applyProtection="0"/>
    <xf numFmtId="0" fontId="194" fillId="75" borderId="0" applyNumberFormat="0" applyBorder="0" applyAlignment="0" applyProtection="0"/>
    <xf numFmtId="0" fontId="156" fillId="79" borderId="0" applyNumberFormat="0" applyBorder="0" applyAlignment="0" applyProtection="0"/>
    <xf numFmtId="0" fontId="194" fillId="79" borderId="0" applyNumberFormat="0" applyBorder="0" applyAlignment="0" applyProtection="0"/>
    <xf numFmtId="0" fontId="156" fillId="83" borderId="0" applyNumberFormat="0" applyBorder="0" applyAlignment="0" applyProtection="0"/>
    <xf numFmtId="0" fontId="194" fillId="83" borderId="0" applyNumberFormat="0" applyBorder="0" applyAlignment="0" applyProtection="0"/>
    <xf numFmtId="0" fontId="147" fillId="57" borderId="0" applyNumberFormat="0" applyBorder="0" applyAlignment="0" applyProtection="0"/>
    <xf numFmtId="0" fontId="195" fillId="57" borderId="0" applyNumberFormat="0" applyBorder="0" applyAlignment="0" applyProtection="0"/>
    <xf numFmtId="0" fontId="151" fillId="60" borderId="46" applyNumberFormat="0" applyAlignment="0" applyProtection="0"/>
    <xf numFmtId="0" fontId="196" fillId="60" borderId="46" applyNumberFormat="0" applyAlignment="0" applyProtection="0"/>
    <xf numFmtId="0" fontId="153" fillId="61" borderId="49" applyNumberFormat="0" applyAlignment="0" applyProtection="0"/>
    <xf numFmtId="0" fontId="197" fillId="61" borderId="49" applyNumberFormat="0" applyAlignment="0" applyProtection="0"/>
    <xf numFmtId="41" fontId="211" fillId="0" borderId="0" applyFont="0" applyFill="0" applyBorder="0" applyAlignment="0" applyProtection="0"/>
    <xf numFmtId="41" fontId="10" fillId="0" borderId="0" applyFont="0" applyFill="0" applyBorder="0" applyAlignment="0" applyProtection="0"/>
    <xf numFmtId="193" fontId="212" fillId="0" borderId="0" applyFont="0" applyFill="0" applyBorder="0" applyAlignment="0" applyProtection="0"/>
    <xf numFmtId="194" fontId="212" fillId="0" borderId="52" applyFont="0" applyFill="0" applyBorder="0" applyAlignment="0" applyProtection="0"/>
    <xf numFmtId="43" fontId="21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22" fillId="0" borderId="0"/>
    <xf numFmtId="0" fontId="155" fillId="0" borderId="0" applyNumberFormat="0" applyFill="0" applyBorder="0" applyAlignment="0" applyProtection="0"/>
    <xf numFmtId="0" fontId="198" fillId="0" borderId="0" applyNumberFormat="0" applyFill="0" applyBorder="0" applyAlignment="0" applyProtection="0"/>
    <xf numFmtId="0" fontId="146" fillId="56" borderId="0" applyNumberFormat="0" applyBorder="0" applyAlignment="0" applyProtection="0"/>
    <xf numFmtId="0" fontId="199" fillId="56" borderId="0" applyNumberFormat="0" applyBorder="0" applyAlignment="0" applyProtection="0"/>
    <xf numFmtId="0" fontId="143" fillId="0" borderId="43" applyNumberFormat="0" applyFill="0" applyAlignment="0" applyProtection="0"/>
    <xf numFmtId="0" fontId="200" fillId="0" borderId="43" applyNumberFormat="0" applyFill="0" applyAlignment="0" applyProtection="0"/>
    <xf numFmtId="0" fontId="144" fillId="0" borderId="44" applyNumberFormat="0" applyFill="0" applyAlignment="0" applyProtection="0"/>
    <xf numFmtId="0" fontId="201" fillId="0" borderId="44" applyNumberFormat="0" applyFill="0" applyAlignment="0" applyProtection="0"/>
    <xf numFmtId="0" fontId="145" fillId="0" borderId="45" applyNumberFormat="0" applyFill="0" applyAlignment="0" applyProtection="0"/>
    <xf numFmtId="0" fontId="202" fillId="0" borderId="45" applyNumberFormat="0" applyFill="0" applyAlignment="0" applyProtection="0"/>
    <xf numFmtId="0" fontId="145" fillId="0" borderId="0" applyNumberFormat="0" applyFill="0" applyBorder="0" applyAlignment="0" applyProtection="0"/>
    <xf numFmtId="0" fontId="202" fillId="0" borderId="0" applyNumberFormat="0" applyFill="0" applyBorder="0" applyAlignment="0" applyProtection="0"/>
    <xf numFmtId="0" fontId="213" fillId="0" borderId="0" applyNumberFormat="0" applyFill="0" applyBorder="0" applyAlignment="0" applyProtection="0">
      <alignment vertical="top"/>
      <protection locked="0"/>
    </xf>
    <xf numFmtId="0" fontId="149" fillId="59" borderId="46" applyNumberFormat="0" applyAlignment="0" applyProtection="0"/>
    <xf numFmtId="0" fontId="203" fillId="59" borderId="46" applyNumberFormat="0" applyAlignment="0" applyProtection="0"/>
    <xf numFmtId="0" fontId="152" fillId="0" borderId="48" applyNumberFormat="0" applyFill="0" applyAlignment="0" applyProtection="0"/>
    <xf numFmtId="0" fontId="205" fillId="0" borderId="48" applyNumberFormat="0" applyFill="0" applyAlignment="0" applyProtection="0"/>
    <xf numFmtId="0" fontId="148" fillId="58" borderId="0" applyNumberFormat="0" applyBorder="0" applyAlignment="0" applyProtection="0"/>
    <xf numFmtId="0" fontId="206" fillId="58" borderId="0" applyNumberFormat="0" applyBorder="0" applyAlignment="0" applyProtection="0"/>
    <xf numFmtId="187" fontId="10" fillId="0" borderId="0"/>
    <xf numFmtId="0" fontId="10" fillId="0" borderId="0"/>
    <xf numFmtId="187" fontId="10" fillId="0" borderId="0"/>
    <xf numFmtId="0" fontId="10" fillId="0" borderId="0"/>
    <xf numFmtId="0" fontId="125" fillId="0" borderId="0"/>
    <xf numFmtId="0" fontId="173" fillId="0" borderId="0"/>
    <xf numFmtId="0" fontId="173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62" fillId="0" borderId="0"/>
    <xf numFmtId="0" fontId="174" fillId="0" borderId="0"/>
    <xf numFmtId="0" fontId="4" fillId="0" borderId="0"/>
    <xf numFmtId="0" fontId="4" fillId="62" borderId="50" applyNumberFormat="0" applyFont="0" applyAlignment="0" applyProtection="0"/>
    <xf numFmtId="0" fontId="174" fillId="62" borderId="50" applyNumberFormat="0" applyFont="0" applyAlignment="0" applyProtection="0"/>
    <xf numFmtId="0" fontId="150" fillId="60" borderId="47" applyNumberFormat="0" applyAlignment="0" applyProtection="0"/>
    <xf numFmtId="0" fontId="207" fillId="60" borderId="47" applyNumberFormat="0" applyAlignment="0" applyProtection="0"/>
    <xf numFmtId="9" fontId="211" fillId="0" borderId="0" applyFont="0" applyFill="0" applyBorder="0" applyAlignment="0" applyProtection="0"/>
    <xf numFmtId="0" fontId="142" fillId="0" borderId="0"/>
    <xf numFmtId="0" fontId="112" fillId="0" borderId="0" applyNumberFormat="0" applyFill="0" applyBorder="0" applyAlignment="0" applyProtection="0"/>
    <xf numFmtId="0" fontId="208" fillId="0" borderId="0" applyNumberFormat="0" applyFill="0" applyBorder="0" applyAlignment="0" applyProtection="0"/>
    <xf numFmtId="0" fontId="88" fillId="0" borderId="51" applyNumberFormat="0" applyFill="0" applyAlignment="0" applyProtection="0"/>
    <xf numFmtId="0" fontId="209" fillId="0" borderId="51" applyNumberFormat="0" applyFill="0" applyAlignment="0" applyProtection="0"/>
    <xf numFmtId="0" fontId="154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10" fillId="0" borderId="0"/>
    <xf numFmtId="0" fontId="10" fillId="0" borderId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80" borderId="0" applyNumberFormat="0" applyBorder="0" applyAlignment="0" applyProtection="0"/>
    <xf numFmtId="0" fontId="4" fillId="84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0" fontId="4" fillId="81" borderId="0" applyNumberFormat="0" applyBorder="0" applyAlignment="0" applyProtection="0"/>
    <xf numFmtId="0" fontId="4" fillId="85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73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0" fontId="173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3" fillId="0" borderId="0"/>
    <xf numFmtId="0" fontId="10" fillId="0" borderId="0"/>
    <xf numFmtId="0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187" fontId="10" fillId="0" borderId="0"/>
    <xf numFmtId="0" fontId="4" fillId="62" borderId="50" applyNumberFormat="0" applyFont="0" applyAlignment="0" applyProtection="0"/>
    <xf numFmtId="0" fontId="10" fillId="0" borderId="53" applyNumberFormat="0" applyFont="0" applyFill="0" applyAlignment="0" applyProtection="0"/>
    <xf numFmtId="0" fontId="10" fillId="0" borderId="53" applyNumberFormat="0" applyFont="0" applyFill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73" fillId="0" borderId="0"/>
    <xf numFmtId="0" fontId="10" fillId="0" borderId="0"/>
    <xf numFmtId="187" fontId="10" fillId="0" borderId="0"/>
    <xf numFmtId="0" fontId="10" fillId="0" borderId="0"/>
    <xf numFmtId="187" fontId="10" fillId="0" borderId="0"/>
    <xf numFmtId="187" fontId="10" fillId="0" borderId="0"/>
    <xf numFmtId="0" fontId="4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3" fillId="0" borderId="0"/>
    <xf numFmtId="187" fontId="10" fillId="0" borderId="0"/>
    <xf numFmtId="0" fontId="4" fillId="0" borderId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1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0" borderId="0"/>
    <xf numFmtId="0" fontId="173" fillId="0" borderId="0"/>
    <xf numFmtId="0" fontId="173" fillId="0" borderId="0"/>
    <xf numFmtId="0" fontId="4" fillId="0" borderId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157" fillId="30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157" fillId="31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157" fillId="32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4" fillId="76" borderId="0" applyNumberFormat="0" applyBorder="0" applyAlignment="0" applyProtection="0"/>
    <xf numFmtId="0" fontId="157" fillId="33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4" fillId="80" borderId="0" applyNumberFormat="0" applyBorder="0" applyAlignment="0" applyProtection="0"/>
    <xf numFmtId="0" fontId="157" fillId="3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4" fillId="84" borderId="0" applyNumberFormat="0" applyBorder="0" applyAlignment="0" applyProtection="0"/>
    <xf numFmtId="0" fontId="157" fillId="3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157" fillId="36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157" fillId="37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157" fillId="38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4" fillId="77" borderId="0" applyNumberFormat="0" applyBorder="0" applyAlignment="0" applyProtection="0"/>
    <xf numFmtId="0" fontId="157" fillId="33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4" fillId="81" borderId="0" applyNumberFormat="0" applyBorder="0" applyAlignment="0" applyProtection="0"/>
    <xf numFmtId="0" fontId="157" fillId="36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4" fillId="85" borderId="0" applyNumberFormat="0" applyBorder="0" applyAlignment="0" applyProtection="0"/>
    <xf numFmtId="0" fontId="157" fillId="39" borderId="0" applyNumberFormat="0" applyBorder="0" applyAlignment="0" applyProtection="0"/>
    <xf numFmtId="0" fontId="158" fillId="40" borderId="0" applyNumberFormat="0" applyBorder="0" applyAlignment="0" applyProtection="0"/>
    <xf numFmtId="0" fontId="158" fillId="37" borderId="0" applyNumberFormat="0" applyBorder="0" applyAlignment="0" applyProtection="0"/>
    <xf numFmtId="0" fontId="158" fillId="38" borderId="0" applyNumberFormat="0" applyBorder="0" applyAlignment="0" applyProtection="0"/>
    <xf numFmtId="0" fontId="158" fillId="41" borderId="0" applyNumberFormat="0" applyBorder="0" applyAlignment="0" applyProtection="0"/>
    <xf numFmtId="0" fontId="158" fillId="42" borderId="0" applyNumberFormat="0" applyBorder="0" applyAlignment="0" applyProtection="0"/>
    <xf numFmtId="0" fontId="158" fillId="43" borderId="0" applyNumberFormat="0" applyBorder="0" applyAlignment="0" applyProtection="0"/>
    <xf numFmtId="0" fontId="158" fillId="44" borderId="0" applyNumberFormat="0" applyBorder="0" applyAlignment="0" applyProtection="0"/>
    <xf numFmtId="0" fontId="158" fillId="45" borderId="0" applyNumberFormat="0" applyBorder="0" applyAlignment="0" applyProtection="0"/>
    <xf numFmtId="0" fontId="158" fillId="46" borderId="0" applyNumberFormat="0" applyBorder="0" applyAlignment="0" applyProtection="0"/>
    <xf numFmtId="0" fontId="158" fillId="41" borderId="0" applyNumberFormat="0" applyBorder="0" applyAlignment="0" applyProtection="0"/>
    <xf numFmtId="0" fontId="158" fillId="42" borderId="0" applyNumberFormat="0" applyBorder="0" applyAlignment="0" applyProtection="0"/>
    <xf numFmtId="0" fontId="158" fillId="47" borderId="0" applyNumberFormat="0" applyBorder="0" applyAlignment="0" applyProtection="0"/>
    <xf numFmtId="0" fontId="159" fillId="31" borderId="0" applyNumberFormat="0" applyBorder="0" applyAlignment="0" applyProtection="0"/>
    <xf numFmtId="0" fontId="160" fillId="13" borderId="30" applyNumberFormat="0" applyAlignment="0" applyProtection="0"/>
    <xf numFmtId="0" fontId="161" fillId="48" borderId="31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5" fontId="214" fillId="0" borderId="0" applyFont="0" applyFill="0" applyBorder="0" applyAlignment="0" applyProtection="0"/>
    <xf numFmtId="0" fontId="164" fillId="0" borderId="0" applyNumberFormat="0" applyFill="0" applyBorder="0" applyAlignment="0" applyProtection="0"/>
    <xf numFmtId="0" fontId="165" fillId="32" borderId="0" applyNumberFormat="0" applyBorder="0" applyAlignment="0" applyProtection="0"/>
    <xf numFmtId="0" fontId="166" fillId="0" borderId="33" applyNumberFormat="0" applyFill="0" applyAlignment="0" applyProtection="0"/>
    <xf numFmtId="0" fontId="167" fillId="0" borderId="34" applyNumberFormat="0" applyFill="0" applyAlignment="0" applyProtection="0"/>
    <xf numFmtId="0" fontId="168" fillId="0" borderId="35" applyNumberFormat="0" applyFill="0" applyAlignment="0" applyProtection="0"/>
    <xf numFmtId="0" fontId="168" fillId="0" borderId="0" applyNumberFormat="0" applyFill="0" applyBorder="0" applyAlignment="0" applyProtection="0"/>
    <xf numFmtId="0" fontId="204" fillId="35" borderId="30" applyNumberFormat="0" applyAlignment="0" applyProtection="0"/>
    <xf numFmtId="0" fontId="171" fillId="0" borderId="36" applyNumberFormat="0" applyFill="0" applyAlignment="0" applyProtection="0"/>
    <xf numFmtId="0" fontId="172" fillId="87" borderId="0" applyNumberFormat="0" applyBorder="0" applyAlignment="0" applyProtection="0"/>
    <xf numFmtId="0" fontId="173" fillId="0" borderId="0"/>
    <xf numFmtId="0" fontId="173" fillId="0" borderId="0"/>
    <xf numFmtId="187" fontId="10" fillId="0" borderId="0"/>
    <xf numFmtId="187" fontId="10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0" fillId="0" borderId="0"/>
    <xf numFmtId="0" fontId="17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3" fillId="0" borderId="0"/>
    <xf numFmtId="0" fontId="173" fillId="0" borderId="0"/>
    <xf numFmtId="0" fontId="10" fillId="0" borderId="0"/>
    <xf numFmtId="0" fontId="10" fillId="0" borderId="0"/>
    <xf numFmtId="0" fontId="10" fillId="0" borderId="0"/>
    <xf numFmtId="0" fontId="125" fillId="0" borderId="0"/>
    <xf numFmtId="187" fontId="10" fillId="0" borderId="0"/>
    <xf numFmtId="0" fontId="4" fillId="0" borderId="0"/>
    <xf numFmtId="0" fontId="4" fillId="0" borderId="0"/>
    <xf numFmtId="0" fontId="4" fillId="0" borderId="0"/>
    <xf numFmtId="187" fontId="125" fillId="0" borderId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4" fillId="62" borderId="50" applyNumberFormat="0" applyFont="0" applyAlignment="0" applyProtection="0"/>
    <xf numFmtId="0" fontId="175" fillId="49" borderId="37" applyNumberFormat="0" applyFont="0" applyAlignment="0" applyProtection="0"/>
    <xf numFmtId="0" fontId="176" fillId="13" borderId="29" applyNumberFormat="0" applyAlignment="0" applyProtection="0"/>
    <xf numFmtId="0" fontId="178" fillId="0" borderId="0" applyNumberFormat="0" applyFill="0" applyBorder="0" applyAlignment="0" applyProtection="0"/>
    <xf numFmtId="0" fontId="180" fillId="0" borderId="32" applyNumberFormat="0" applyFill="0" applyAlignment="0" applyProtection="0"/>
    <xf numFmtId="0" fontId="181" fillId="0" borderId="0" applyNumberFormat="0" applyFill="0" applyBorder="0" applyAlignment="0" applyProtection="0"/>
    <xf numFmtId="41" fontId="211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1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2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192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192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2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1" fontId="122" fillId="0" borderId="0"/>
    <xf numFmtId="41" fontId="122" fillId="0" borderId="0"/>
    <xf numFmtId="41" fontId="122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215" fillId="0" borderId="0"/>
    <xf numFmtId="0" fontId="173" fillId="0" borderId="0"/>
    <xf numFmtId="0" fontId="215" fillId="0" borderId="0"/>
    <xf numFmtId="0" fontId="216" fillId="0" borderId="0"/>
    <xf numFmtId="0" fontId="17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73" fillId="0" borderId="0"/>
    <xf numFmtId="0" fontId="10" fillId="0" borderId="0"/>
    <xf numFmtId="0" fontId="10" fillId="0" borderId="0"/>
    <xf numFmtId="187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2" fontId="121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2" fontId="121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2" fontId="121" fillId="0" borderId="0"/>
    <xf numFmtId="2" fontId="121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72" borderId="0" applyNumberFormat="0" applyBorder="0" applyAlignment="0" applyProtection="0"/>
    <xf numFmtId="0" fontId="4" fillId="69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80" borderId="0" applyNumberFormat="0" applyBorder="0" applyAlignment="0" applyProtection="0"/>
    <xf numFmtId="0" fontId="4" fillId="62" borderId="50" applyNumberFormat="0" applyFont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0" borderId="0"/>
    <xf numFmtId="0" fontId="4" fillId="0" borderId="0"/>
    <xf numFmtId="0" fontId="4" fillId="85" borderId="0" applyNumberFormat="0" applyBorder="0" applyAlignment="0" applyProtection="0"/>
    <xf numFmtId="0" fontId="4" fillId="73" borderId="0" applyNumberFormat="0" applyBorder="0" applyAlignment="0" applyProtection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81" borderId="0" applyNumberFormat="0" applyBorder="0" applyAlignment="0" applyProtection="0"/>
    <xf numFmtId="0" fontId="4" fillId="77" borderId="0" applyNumberFormat="0" applyBorder="0" applyAlignment="0" applyProtection="0"/>
    <xf numFmtId="0" fontId="4" fillId="76" borderId="0" applyNumberFormat="0" applyBorder="0" applyAlignment="0" applyProtection="0"/>
    <xf numFmtId="0" fontId="4" fillId="84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6" borderId="0" applyNumberFormat="0" applyBorder="0" applyAlignment="0" applyProtection="0"/>
    <xf numFmtId="0" fontId="4" fillId="77" borderId="0" applyNumberFormat="0" applyBorder="0" applyAlignment="0" applyProtection="0"/>
    <xf numFmtId="0" fontId="4" fillId="80" borderId="0" applyNumberFormat="0" applyBorder="0" applyAlignment="0" applyProtection="0"/>
    <xf numFmtId="0" fontId="4" fillId="81" borderId="0" applyNumberFormat="0" applyBorder="0" applyAlignment="0" applyProtection="0"/>
    <xf numFmtId="0" fontId="4" fillId="84" borderId="0" applyNumberFormat="0" applyBorder="0" applyAlignment="0" applyProtection="0"/>
    <xf numFmtId="0" fontId="4" fillId="85" borderId="0" applyNumberFormat="0" applyBorder="0" applyAlignment="0" applyProtection="0"/>
    <xf numFmtId="0" fontId="4" fillId="62" borderId="50" applyNumberFormat="0" applyFont="0" applyAlignment="0" applyProtection="0"/>
    <xf numFmtId="0" fontId="4" fillId="0" borderId="0"/>
    <xf numFmtId="0" fontId="4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2" fontId="121" fillId="0" borderId="0"/>
    <xf numFmtId="187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49" fillId="59" borderId="46" applyNumberFormat="0" applyAlignment="0" applyProtection="0"/>
    <xf numFmtId="0" fontId="156" fillId="63" borderId="0" applyNumberFormat="0" applyBorder="0" applyAlignment="0" applyProtection="0"/>
    <xf numFmtId="0" fontId="156" fillId="67" borderId="0" applyNumberFormat="0" applyBorder="0" applyAlignment="0" applyProtection="0"/>
    <xf numFmtId="0" fontId="156" fillId="71" borderId="0" applyNumberFormat="0" applyBorder="0" applyAlignment="0" applyProtection="0"/>
    <xf numFmtId="0" fontId="156" fillId="75" borderId="0" applyNumberFormat="0" applyBorder="0" applyAlignment="0" applyProtection="0"/>
    <xf numFmtId="0" fontId="156" fillId="79" borderId="0" applyNumberFormat="0" applyBorder="0" applyAlignment="0" applyProtection="0"/>
    <xf numFmtId="0" fontId="156" fillId="83" borderId="0" applyNumberFormat="0" applyBorder="0" applyAlignment="0" applyProtection="0"/>
    <xf numFmtId="0" fontId="89" fillId="0" borderId="0"/>
    <xf numFmtId="4" fontId="7" fillId="0" borderId="57" applyNumberFormat="0" applyProtection="0">
      <alignment horizontal="right" vertical="center"/>
    </xf>
    <xf numFmtId="43" fontId="4" fillId="0" borderId="0" applyFont="0" applyFill="0" applyBorder="0" applyAlignment="0" applyProtection="0"/>
    <xf numFmtId="0" fontId="114" fillId="0" borderId="0"/>
    <xf numFmtId="0" fontId="4" fillId="0" borderId="0"/>
    <xf numFmtId="0" fontId="114" fillId="0" borderId="0"/>
    <xf numFmtId="0" fontId="11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14" fillId="0" borderId="0"/>
    <xf numFmtId="0" fontId="78" fillId="0" borderId="58" applyNumberFormat="0" applyFill="0" applyAlignment="0" applyProtection="0"/>
    <xf numFmtId="0" fontId="7" fillId="110" borderId="0"/>
    <xf numFmtId="0" fontId="217" fillId="0" borderId="59" applyNumberFormat="0" applyFill="0" applyAlignment="0" applyProtection="0">
      <alignment wrapText="1"/>
    </xf>
    <xf numFmtId="0" fontId="217" fillId="0" borderId="59" applyNumberFormat="0" applyFill="0" applyAlignment="0" applyProtection="0">
      <alignment wrapText="1"/>
    </xf>
    <xf numFmtId="0" fontId="218" fillId="0" borderId="59" applyNumberFormat="0" applyFill="0" applyAlignment="0" applyProtection="0"/>
    <xf numFmtId="0" fontId="219" fillId="0" borderId="59" applyNumberFormat="0" applyFill="0" applyAlignment="0" applyProtection="0">
      <alignment wrapText="1"/>
    </xf>
    <xf numFmtId="0" fontId="220" fillId="0" borderId="60" applyNumberFormat="0" applyFill="0" applyAlignment="0" applyProtection="0"/>
    <xf numFmtId="0" fontId="221" fillId="0" borderId="0" applyNumberFormat="0" applyFill="0" applyAlignment="0" applyProtection="0"/>
    <xf numFmtId="0" fontId="217" fillId="0" borderId="0" applyNumberFormat="0" applyFill="0" applyAlignment="0" applyProtection="0">
      <alignment vertical="top" wrapText="1"/>
    </xf>
    <xf numFmtId="0" fontId="88" fillId="0" borderId="0" applyNumberFormat="0" applyFill="0" applyAlignment="0" applyProtection="0"/>
    <xf numFmtId="0" fontId="222" fillId="0" borderId="0" applyNumberFormat="0" applyFill="0" applyAlignment="0" applyProtection="0"/>
    <xf numFmtId="0" fontId="222" fillId="0" borderId="59" applyNumberFormat="0" applyFill="0" applyAlignment="0" applyProtection="0">
      <alignment vertical="top" wrapText="1"/>
    </xf>
    <xf numFmtId="164" fontId="217" fillId="0" borderId="0" applyFont="0" applyFill="0" applyBorder="0" applyAlignment="0" applyProtection="0"/>
    <xf numFmtId="0" fontId="113" fillId="0" borderId="0"/>
    <xf numFmtId="43" fontId="113" fillId="0" borderId="0" applyFont="0" applyFill="0" applyBorder="0" applyAlignment="0" applyProtection="0"/>
    <xf numFmtId="9" fontId="11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691">
    <xf numFmtId="0" fontId="0" fillId="0" borderId="0" xfId="0" applyAlignment="1"/>
    <xf numFmtId="0" fontId="8" fillId="0" borderId="0" xfId="0" applyFont="1" applyAlignment="1"/>
    <xf numFmtId="0" fontId="8" fillId="0" borderId="0" xfId="0" applyFont="1" applyFill="1" applyBorder="1" applyAlignment="1"/>
    <xf numFmtId="0" fontId="0" fillId="0" borderId="4" xfId="6" applyFont="1" applyAlignment="1"/>
    <xf numFmtId="0" fontId="0" fillId="0" borderId="5" xfId="7" applyFont="1" applyAlignment="1">
      <alignment wrapText="1"/>
    </xf>
    <xf numFmtId="0" fontId="0" fillId="0" borderId="5" xfId="7" applyFont="1" applyFill="1" applyAlignment="1">
      <alignment wrapText="1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1" fontId="8" fillId="0" borderId="3" xfId="2" applyNumberFormat="1" applyFont="1" applyAlignment="1">
      <alignment horizontal="right" wrapText="1"/>
    </xf>
    <xf numFmtId="4" fontId="0" fillId="2" borderId="5" xfId="7" applyNumberFormat="1" applyFont="1" applyFill="1" applyAlignment="1">
      <alignment horizontal="right" wrapText="1"/>
    </xf>
    <xf numFmtId="0" fontId="8" fillId="0" borderId="3" xfId="2" applyNumberFormat="1" applyFont="1" applyFill="1" applyAlignment="1">
      <alignment wrapText="1"/>
    </xf>
    <xf numFmtId="3" fontId="0" fillId="0" borderId="5" xfId="7" applyNumberFormat="1" applyFont="1" applyFill="1" applyAlignment="1">
      <alignment horizontal="right" wrapText="1"/>
    </xf>
    <xf numFmtId="0" fontId="8" fillId="0" borderId="3" xfId="2" applyNumberFormat="1" applyFont="1" applyAlignment="1">
      <alignment wrapText="1"/>
    </xf>
    <xf numFmtId="3" fontId="0" fillId="0" borderId="5" xfId="7" applyNumberFormat="1" applyFont="1" applyAlignment="1">
      <alignment horizontal="right" wrapText="1"/>
    </xf>
    <xf numFmtId="3" fontId="0" fillId="2" borderId="5" xfId="7" applyNumberFormat="1" applyFont="1" applyFill="1" applyAlignment="1">
      <alignment horizontal="right" wrapText="1"/>
    </xf>
    <xf numFmtId="4" fontId="0" fillId="0" borderId="5" xfId="7" applyNumberFormat="1" applyFont="1" applyAlignment="1">
      <alignment horizontal="right" wrapText="1"/>
    </xf>
    <xf numFmtId="2" fontId="0" fillId="0" borderId="5" xfId="7" applyNumberFormat="1" applyFont="1" applyAlignment="1">
      <alignment horizontal="right" wrapText="1"/>
    </xf>
    <xf numFmtId="4" fontId="8" fillId="0" borderId="6" xfId="9" applyNumberFormat="1" applyFont="1" applyAlignment="1">
      <alignment horizontal="right" wrapText="1"/>
    </xf>
    <xf numFmtId="4" fontId="8" fillId="0" borderId="6" xfId="10" applyNumberFormat="1" applyFont="1" applyFill="1" applyAlignment="1">
      <alignment horizontal="right" wrapText="1"/>
    </xf>
    <xf numFmtId="0" fontId="0" fillId="0" borderId="4" xfId="6" applyFont="1" applyFill="1" applyAlignment="1"/>
    <xf numFmtId="0" fontId="8" fillId="0" borderId="6" xfId="10" applyFont="1" applyAlignment="1">
      <alignment wrapText="1"/>
    </xf>
    <xf numFmtId="0" fontId="0" fillId="0" borderId="5" xfId="7" applyFont="1" applyAlignment="1">
      <alignment horizontal="right" wrapText="1"/>
    </xf>
    <xf numFmtId="2" fontId="0" fillId="3" borderId="5" xfId="7" applyNumberFormat="1" applyFont="1" applyFill="1" applyAlignment="1">
      <alignment horizontal="right" wrapText="1"/>
    </xf>
    <xf numFmtId="0" fontId="0" fillId="0" borderId="4" xfId="6" applyFont="1" applyAlignment="1">
      <alignment horizontal="right" wrapText="1"/>
    </xf>
    <xf numFmtId="3" fontId="0" fillId="3" borderId="5" xfId="7" applyNumberFormat="1" applyFont="1" applyFill="1" applyAlignment="1">
      <alignment horizontal="right" wrapText="1"/>
    </xf>
    <xf numFmtId="0" fontId="8" fillId="0" borderId="3" xfId="2" applyNumberFormat="1" applyFont="1" applyBorder="1" applyAlignment="1">
      <alignment wrapText="1"/>
    </xf>
    <xf numFmtId="0" fontId="0" fillId="0" borderId="11" xfId="7" applyFont="1" applyBorder="1" applyAlignment="1">
      <alignment wrapText="1"/>
    </xf>
    <xf numFmtId="0" fontId="0" fillId="0" borderId="9" xfId="7" applyFont="1" applyBorder="1" applyAlignment="1">
      <alignment wrapText="1"/>
    </xf>
    <xf numFmtId="0" fontId="8" fillId="0" borderId="10" xfId="10" applyFont="1" applyBorder="1" applyAlignment="1">
      <alignment wrapText="1"/>
    </xf>
    <xf numFmtId="0" fontId="0" fillId="0" borderId="11" xfId="7" applyFont="1" applyBorder="1" applyAlignment="1">
      <alignment horizontal="left" wrapText="1" indent="1"/>
    </xf>
    <xf numFmtId="0" fontId="0" fillId="0" borderId="9" xfId="7" applyFont="1" applyBorder="1" applyAlignment="1">
      <alignment horizontal="left" wrapText="1" indent="1"/>
    </xf>
    <xf numFmtId="0" fontId="0" fillId="0" borderId="11" xfId="7" applyFont="1" applyFill="1" applyBorder="1" applyAlignment="1">
      <alignment wrapText="1"/>
    </xf>
    <xf numFmtId="0" fontId="0" fillId="0" borderId="9" xfId="7" applyFont="1" applyFill="1" applyBorder="1" applyAlignment="1">
      <alignment wrapText="1"/>
    </xf>
    <xf numFmtId="0" fontId="10" fillId="0" borderId="11" xfId="7" applyFont="1" applyBorder="1" applyAlignment="1">
      <alignment wrapText="1"/>
    </xf>
    <xf numFmtId="0" fontId="10" fillId="0" borderId="11" xfId="7" applyFont="1" applyBorder="1" applyAlignment="1">
      <alignment horizontal="left" wrapText="1" indent="1"/>
    </xf>
    <xf numFmtId="0" fontId="10" fillId="0" borderId="9" xfId="7" applyFont="1" applyBorder="1" applyAlignment="1">
      <alignment horizontal="left" wrapText="1" indent="1"/>
    </xf>
    <xf numFmtId="0" fontId="0" fillId="0" borderId="10" xfId="8" applyFont="1" applyBorder="1" applyAlignment="1">
      <alignment wrapText="1"/>
    </xf>
    <xf numFmtId="0" fontId="8" fillId="0" borderId="9" xfId="7" applyFont="1" applyBorder="1" applyAlignment="1">
      <alignment wrapText="1"/>
    </xf>
    <xf numFmtId="0" fontId="10" fillId="0" borderId="9" xfId="7" applyFont="1" applyBorder="1" applyAlignment="1">
      <alignment wrapText="1"/>
    </xf>
    <xf numFmtId="0" fontId="8" fillId="0" borderId="0" xfId="0" applyFont="1" applyBorder="1" applyAlignment="1"/>
    <xf numFmtId="0" fontId="0" fillId="0" borderId="13" xfId="7" applyFont="1" applyBorder="1" applyAlignment="1">
      <alignment wrapText="1"/>
    </xf>
    <xf numFmtId="0" fontId="0" fillId="2" borderId="11" xfId="7" applyFont="1" applyFill="1" applyBorder="1" applyAlignment="1">
      <alignment wrapText="1"/>
    </xf>
    <xf numFmtId="0" fontId="10" fillId="0" borderId="13" xfId="7" applyFont="1" applyBorder="1" applyAlignment="1">
      <alignment wrapText="1"/>
    </xf>
    <xf numFmtId="0" fontId="8" fillId="0" borderId="3" xfId="2" applyNumberFormat="1" applyFont="1" applyBorder="1" applyAlignment="1">
      <alignment horizontal="left" wrapText="1"/>
    </xf>
    <xf numFmtId="0" fontId="0" fillId="0" borderId="8" xfId="7" applyFont="1" applyBorder="1" applyAlignment="1">
      <alignment horizontal="left" wrapText="1"/>
    </xf>
    <xf numFmtId="0" fontId="0" fillId="0" borderId="11" xfId="7" applyFont="1" applyBorder="1" applyAlignment="1">
      <alignment horizontal="left" wrapText="1"/>
    </xf>
    <xf numFmtId="0" fontId="0" fillId="0" borderId="9" xfId="7" applyFont="1" applyBorder="1" applyAlignment="1">
      <alignment horizontal="left" wrapText="1"/>
    </xf>
    <xf numFmtId="0" fontId="8" fillId="0" borderId="10" xfId="10" applyFont="1" applyBorder="1" applyAlignment="1">
      <alignment horizontal="left" wrapText="1"/>
    </xf>
    <xf numFmtId="0" fontId="8" fillId="2" borderId="3" xfId="2" applyNumberFormat="1" applyFont="1" applyFill="1" applyBorder="1" applyAlignment="1">
      <alignment wrapText="1"/>
    </xf>
    <xf numFmtId="0" fontId="8" fillId="0" borderId="8" xfId="7" applyFont="1" applyBorder="1" applyAlignment="1">
      <alignment wrapText="1"/>
    </xf>
    <xf numFmtId="0" fontId="8" fillId="0" borderId="12" xfId="10" applyFont="1" applyBorder="1" applyAlignment="1">
      <alignment wrapText="1"/>
    </xf>
    <xf numFmtId="0" fontId="8" fillId="0" borderId="14" xfId="10" applyFont="1" applyBorder="1" applyAlignment="1">
      <alignment wrapText="1"/>
    </xf>
    <xf numFmtId="0" fontId="10" fillId="0" borderId="10" xfId="8" applyBorder="1" applyAlignment="1">
      <alignment wrapText="1"/>
    </xf>
    <xf numFmtId="0" fontId="8" fillId="0" borderId="7" xfId="9" applyFont="1" applyBorder="1" applyAlignment="1">
      <alignment wrapText="1"/>
    </xf>
    <xf numFmtId="0" fontId="8" fillId="0" borderId="6" xfId="9" applyFont="1" applyBorder="1" applyAlignment="1">
      <alignment wrapText="1"/>
    </xf>
    <xf numFmtId="0" fontId="8" fillId="0" borderId="13" xfId="7" applyFont="1" applyBorder="1" applyAlignment="1">
      <alignment wrapText="1"/>
    </xf>
    <xf numFmtId="0" fontId="8" fillId="0" borderId="7" xfId="9" applyFont="1" applyFill="1" applyBorder="1" applyAlignment="1">
      <alignment wrapText="1"/>
    </xf>
    <xf numFmtId="0" fontId="10" fillId="0" borderId="11" xfId="7" applyFont="1" applyFill="1" applyBorder="1" applyAlignment="1">
      <alignment wrapText="1"/>
    </xf>
    <xf numFmtId="3" fontId="8" fillId="3" borderId="5" xfId="7" applyNumberFormat="1" applyFont="1" applyFill="1" applyAlignment="1">
      <alignment horizontal="right" wrapText="1"/>
    </xf>
    <xf numFmtId="2" fontId="0" fillId="3" borderId="6" xfId="8" applyNumberFormat="1" applyFont="1" applyFill="1" applyAlignment="1">
      <alignment horizontal="right" wrapText="1"/>
    </xf>
    <xf numFmtId="0" fontId="8" fillId="0" borderId="11" xfId="7" applyFont="1" applyBorder="1" applyAlignment="1">
      <alignment horizontal="left" wrapText="1" indent="1"/>
    </xf>
    <xf numFmtId="0" fontId="0" fillId="0" borderId="11" xfId="7" applyFont="1" applyFill="1" applyBorder="1" applyAlignment="1">
      <alignment horizontal="left" wrapText="1" indent="1"/>
    </xf>
    <xf numFmtId="0" fontId="10" fillId="2" borderId="5" xfId="7" applyFill="1" applyAlignment="1">
      <alignment wrapText="1"/>
    </xf>
    <xf numFmtId="3" fontId="10" fillId="3" borderId="6" xfId="8" applyNumberFormat="1" applyFill="1" applyAlignment="1">
      <alignment horizontal="right" wrapText="1"/>
    </xf>
    <xf numFmtId="0" fontId="10" fillId="0" borderId="6" xfId="8" applyAlignment="1">
      <alignment wrapText="1"/>
    </xf>
    <xf numFmtId="4" fontId="10" fillId="2" borderId="6" xfId="8" applyNumberFormat="1" applyFill="1" applyAlignment="1">
      <alignment horizontal="right" wrapText="1"/>
    </xf>
    <xf numFmtId="4" fontId="10" fillId="2" borderId="5" xfId="7" applyNumberFormat="1" applyFill="1" applyAlignment="1">
      <alignment horizontal="right" wrapText="1"/>
    </xf>
    <xf numFmtId="0" fontId="10" fillId="0" borderId="6" xfId="8" applyAlignment="1"/>
    <xf numFmtId="0" fontId="10" fillId="0" borderId="5" xfId="7" applyAlignment="1">
      <alignment wrapText="1"/>
    </xf>
    <xf numFmtId="0" fontId="0" fillId="0" borderId="0" xfId="6" applyFont="1" applyBorder="1" applyAlignment="1"/>
    <xf numFmtId="0" fontId="8" fillId="0" borderId="5" xfId="7" applyFont="1" applyAlignment="1">
      <alignment horizontal="left" wrapText="1"/>
    </xf>
    <xf numFmtId="3" fontId="8" fillId="0" borderId="6" xfId="10" applyNumberFormat="1" applyAlignment="1">
      <alignment horizontal="right" wrapText="1"/>
    </xf>
    <xf numFmtId="0" fontId="8" fillId="0" borderId="6" xfId="10" applyAlignment="1">
      <alignment wrapText="1"/>
    </xf>
    <xf numFmtId="3" fontId="8" fillId="0" borderId="6" xfId="10" applyNumberFormat="1" applyFill="1" applyAlignment="1">
      <alignment horizontal="right" wrapText="1"/>
    </xf>
    <xf numFmtId="0" fontId="8" fillId="0" borderId="6" xfId="10" applyFill="1" applyAlignment="1">
      <alignment wrapText="1"/>
    </xf>
    <xf numFmtId="0" fontId="10" fillId="0" borderId="5" xfId="7" applyFill="1" applyAlignment="1">
      <alignment wrapText="1"/>
    </xf>
    <xf numFmtId="0" fontId="10" fillId="0" borderId="6" xfId="8" applyFill="1" applyAlignment="1">
      <alignment wrapText="1"/>
    </xf>
    <xf numFmtId="0" fontId="0" fillId="0" borderId="6" xfId="8" applyFont="1" applyFill="1" applyAlignment="1">
      <alignment wrapText="1"/>
    </xf>
    <xf numFmtId="4" fontId="8" fillId="0" borderId="6" xfId="10" applyNumberFormat="1" applyAlignment="1">
      <alignment horizontal="right" wrapText="1"/>
    </xf>
    <xf numFmtId="0" fontId="8" fillId="0" borderId="6" xfId="10" applyAlignment="1">
      <alignment horizontal="left" wrapText="1"/>
    </xf>
    <xf numFmtId="0" fontId="10" fillId="3" borderId="5" xfId="7" applyFill="1" applyAlignment="1">
      <alignment wrapText="1"/>
    </xf>
    <xf numFmtId="0" fontId="8" fillId="0" borderId="6" xfId="9" applyAlignment="1">
      <alignment wrapText="1"/>
    </xf>
    <xf numFmtId="0" fontId="0" fillId="0" borderId="0" xfId="0" applyFill="1" applyAlignment="1"/>
    <xf numFmtId="0" fontId="54" fillId="3" borderId="0" xfId="1" applyFont="1" applyFill="1" applyBorder="1" applyAlignment="1" applyProtection="1">
      <alignment vertical="center" wrapText="1"/>
    </xf>
    <xf numFmtId="0" fontId="14" fillId="3" borderId="0" xfId="127" applyFont="1" applyFill="1" applyBorder="1" applyAlignment="1">
      <alignment wrapText="1"/>
    </xf>
    <xf numFmtId="0" fontId="10" fillId="0" borderId="5" xfId="7" applyAlignment="1"/>
    <xf numFmtId="0" fontId="8" fillId="0" borderId="3" xfId="2" applyNumberFormat="1" applyAlignment="1">
      <alignment vertical="center" wrapText="1"/>
    </xf>
    <xf numFmtId="3" fontId="10" fillId="0" borderId="5" xfId="7" applyNumberFormat="1" applyAlignment="1">
      <alignment horizontal="right" wrapText="1"/>
    </xf>
    <xf numFmtId="0" fontId="10" fillId="0" borderId="5" xfId="7" applyFont="1" applyBorder="1" applyAlignment="1">
      <alignment wrapText="1"/>
    </xf>
    <xf numFmtId="0" fontId="0" fillId="0" borderId="0" xfId="7" applyFont="1" applyBorder="1" applyAlignment="1">
      <alignment horizontal="right" wrapText="1"/>
    </xf>
    <xf numFmtId="0" fontId="0" fillId="0" borderId="5" xfId="7" applyFont="1" applyFill="1" applyAlignment="1">
      <alignment horizontal="left" wrapText="1" indent="1"/>
    </xf>
    <xf numFmtId="0" fontId="0" fillId="0" borderId="8" xfId="7" applyFont="1" applyFill="1" applyBorder="1" applyAlignment="1">
      <alignment wrapText="1"/>
    </xf>
    <xf numFmtId="0" fontId="0" fillId="0" borderId="15" xfId="7" applyFont="1" applyFill="1" applyBorder="1" applyAlignment="1">
      <alignment wrapText="1"/>
    </xf>
    <xf numFmtId="0" fontId="0" fillId="2" borderId="5" xfId="7" applyFont="1" applyFill="1" applyAlignment="1">
      <alignment wrapText="1"/>
    </xf>
    <xf numFmtId="0" fontId="8" fillId="0" borderId="0" xfId="7" applyFont="1" applyBorder="1" applyAlignment="1">
      <alignment horizontal="left" wrapText="1"/>
    </xf>
    <xf numFmtId="3" fontId="10" fillId="3" borderId="5" xfId="7" applyNumberFormat="1" applyFill="1" applyAlignment="1">
      <alignment horizontal="right" wrapText="1"/>
    </xf>
    <xf numFmtId="0" fontId="0" fillId="0" borderId="0" xfId="6" applyFont="1" applyBorder="1" applyAlignment="1">
      <alignment horizontal="right" wrapText="1"/>
    </xf>
    <xf numFmtId="0" fontId="0" fillId="0" borderId="0" xfId="6" applyFont="1" applyBorder="1" applyAlignment="1">
      <alignment wrapText="1"/>
    </xf>
    <xf numFmtId="0" fontId="10" fillId="0" borderId="5" xfId="7" applyFill="1" applyAlignment="1">
      <alignment horizontal="left" wrapText="1" indent="1"/>
    </xf>
    <xf numFmtId="0" fontId="0" fillId="0" borderId="11" xfId="7" applyFont="1" applyFill="1" applyBorder="1" applyAlignment="1">
      <alignment horizontal="left" wrapText="1"/>
    </xf>
    <xf numFmtId="3" fontId="10" fillId="3" borderId="5" xfId="7" applyNumberFormat="1" applyFill="1" applyAlignment="1">
      <alignment horizontal="right"/>
    </xf>
    <xf numFmtId="0" fontId="10" fillId="0" borderId="5" xfId="7" applyFill="1" applyAlignment="1">
      <alignment horizontal="left" wrapText="1"/>
    </xf>
    <xf numFmtId="0" fontId="10" fillId="0" borderId="6" xfId="8" applyFill="1" applyAlignment="1">
      <alignment horizontal="left" wrapText="1" indent="1"/>
    </xf>
    <xf numFmtId="0" fontId="0" fillId="0" borderId="0" xfId="7" applyFont="1" applyBorder="1" applyAlignment="1">
      <alignment wrapText="1"/>
    </xf>
    <xf numFmtId="0" fontId="5" fillId="0" borderId="0" xfId="232"/>
    <xf numFmtId="1" fontId="90" fillId="51" borderId="0" xfId="233" applyNumberFormat="1" applyFont="1" applyFill="1" applyBorder="1" applyAlignment="1">
      <alignment horizontal="right" vertical="center"/>
    </xf>
    <xf numFmtId="184" fontId="91" fillId="0" borderId="0" xfId="233" applyNumberFormat="1" applyFont="1" applyFill="1" applyBorder="1" applyAlignment="1">
      <alignment horizontal="left" vertical="center"/>
    </xf>
    <xf numFmtId="1" fontId="92" fillId="51" borderId="0" xfId="233" applyNumberFormat="1" applyFont="1" applyFill="1" applyBorder="1" applyAlignment="1">
      <alignment horizontal="center" vertical="center"/>
    </xf>
    <xf numFmtId="184" fontId="8" fillId="0" borderId="0" xfId="233" applyNumberFormat="1" applyFont="1" applyFill="1" applyBorder="1" applyAlignment="1">
      <alignment horizontal="left" vertical="center"/>
    </xf>
    <xf numFmtId="190" fontId="93" fillId="51" borderId="0" xfId="234" applyNumberFormat="1" applyFont="1" applyFill="1" applyBorder="1" applyAlignment="1">
      <alignment horizontal="center" vertical="center"/>
    </xf>
    <xf numFmtId="190" fontId="92" fillId="51" borderId="0" xfId="234" applyNumberFormat="1" applyFont="1" applyFill="1" applyBorder="1"/>
    <xf numFmtId="184" fontId="10" fillId="0" borderId="0" xfId="233" applyNumberFormat="1" applyFont="1" applyFill="1" applyBorder="1" applyAlignment="1">
      <alignment horizontal="left" vertical="center"/>
    </xf>
    <xf numFmtId="190" fontId="92" fillId="51" borderId="0" xfId="234" applyNumberFormat="1" applyFont="1" applyFill="1" applyBorder="1" applyAlignment="1">
      <alignment horizontal="center" vertical="center"/>
    </xf>
    <xf numFmtId="190" fontId="94" fillId="51" borderId="0" xfId="234" applyNumberFormat="1" applyFont="1" applyFill="1" applyBorder="1" applyAlignment="1">
      <alignment horizontal="center" vertical="center"/>
    </xf>
    <xf numFmtId="184" fontId="8" fillId="0" borderId="0" xfId="233" applyNumberFormat="1" applyFont="1" applyFill="1" applyBorder="1" applyAlignment="1">
      <alignment horizontal="left" vertical="center" wrapText="1" indent="1"/>
    </xf>
    <xf numFmtId="184" fontId="8" fillId="52" borderId="39" xfId="233" applyNumberFormat="1" applyFont="1" applyFill="1" applyBorder="1" applyAlignment="1">
      <alignment vertical="center"/>
    </xf>
    <xf numFmtId="190" fontId="96" fillId="52" borderId="39" xfId="234" applyNumberFormat="1" applyFont="1" applyFill="1" applyBorder="1" applyAlignment="1">
      <alignment horizontal="right" vertical="center"/>
    </xf>
    <xf numFmtId="190" fontId="94" fillId="51" borderId="40" xfId="234" applyNumberFormat="1" applyFont="1" applyFill="1" applyBorder="1" applyAlignment="1">
      <alignment horizontal="right" vertical="center"/>
    </xf>
    <xf numFmtId="190" fontId="94" fillId="51" borderId="0" xfId="234" applyNumberFormat="1" applyFont="1" applyFill="1" applyBorder="1" applyAlignment="1">
      <alignment horizontal="right" vertical="center"/>
    </xf>
    <xf numFmtId="184" fontId="8" fillId="0" borderId="39" xfId="233" applyNumberFormat="1" applyFont="1" applyFill="1" applyBorder="1" applyAlignment="1">
      <alignment horizontal="left" vertical="center"/>
    </xf>
    <xf numFmtId="0" fontId="5" fillId="0" borderId="39" xfId="232" applyBorder="1"/>
    <xf numFmtId="190" fontId="92" fillId="51" borderId="39" xfId="234" applyNumberFormat="1" applyFont="1" applyFill="1" applyBorder="1" applyAlignment="1">
      <alignment horizontal="right" vertical="center"/>
    </xf>
    <xf numFmtId="190" fontId="97" fillId="51" borderId="0" xfId="234" applyNumberFormat="1" applyFont="1" applyFill="1" applyBorder="1" applyAlignment="1">
      <alignment horizontal="right" vertical="center"/>
    </xf>
    <xf numFmtId="190" fontId="8" fillId="0" borderId="41" xfId="234" applyNumberFormat="1" applyFont="1" applyFill="1" applyBorder="1" applyAlignment="1">
      <alignment horizontal="center" vertical="center"/>
    </xf>
    <xf numFmtId="190" fontId="10" fillId="0" borderId="42" xfId="234" applyNumberFormat="1" applyFont="1" applyFill="1" applyBorder="1" applyAlignment="1">
      <alignment horizontal="right" vertical="center"/>
    </xf>
    <xf numFmtId="184" fontId="10" fillId="0" borderId="26" xfId="233" applyNumberFormat="1" applyFont="1" applyFill="1" applyBorder="1" applyAlignment="1">
      <alignment horizontal="left" vertical="center"/>
    </xf>
    <xf numFmtId="190" fontId="94" fillId="51" borderId="42" xfId="234" applyNumberFormat="1" applyFont="1" applyFill="1" applyBorder="1" applyAlignment="1">
      <alignment horizontal="right" vertical="center"/>
    </xf>
    <xf numFmtId="184" fontId="10" fillId="0" borderId="40" xfId="233" applyNumberFormat="1" applyFont="1" applyFill="1" applyBorder="1" applyAlignment="1">
      <alignment horizontal="left" vertical="center"/>
    </xf>
    <xf numFmtId="190" fontId="8" fillId="0" borderId="2" xfId="234" applyNumberFormat="1" applyFont="1" applyFill="1" applyBorder="1" applyAlignment="1">
      <alignment horizontal="right" vertical="center"/>
    </xf>
    <xf numFmtId="190" fontId="10" fillId="0" borderId="41" xfId="234" applyNumberFormat="1" applyFont="1" applyFill="1" applyBorder="1" applyAlignment="1">
      <alignment horizontal="right" vertical="center"/>
    </xf>
    <xf numFmtId="190" fontId="94" fillId="51" borderId="26" xfId="234" applyNumberFormat="1" applyFont="1" applyFill="1" applyBorder="1" applyAlignment="1">
      <alignment horizontal="right" vertical="center"/>
    </xf>
    <xf numFmtId="184" fontId="10" fillId="0" borderId="0" xfId="233" applyNumberFormat="1" applyFont="1" applyFill="1" applyBorder="1" applyAlignment="1">
      <alignment vertical="center"/>
    </xf>
    <xf numFmtId="184" fontId="10" fillId="0" borderId="26" xfId="235" applyNumberFormat="1" applyFont="1" applyFill="1" applyBorder="1" applyAlignment="1">
      <alignment horizontal="left" vertical="center"/>
    </xf>
    <xf numFmtId="0" fontId="88" fillId="0" borderId="0" xfId="232" applyFont="1"/>
    <xf numFmtId="190" fontId="0" fillId="0" borderId="2" xfId="234" applyNumberFormat="1" applyFont="1" applyFill="1" applyBorder="1" applyAlignment="1">
      <alignment horizontal="right" vertical="center"/>
    </xf>
    <xf numFmtId="184" fontId="90" fillId="51" borderId="0" xfId="233" applyNumberFormat="1" applyFont="1" applyFill="1" applyBorder="1" applyAlignment="1">
      <alignment horizontal="center" vertical="center"/>
    </xf>
    <xf numFmtId="1" fontId="90" fillId="51" borderId="38" xfId="233" applyNumberFormat="1" applyFont="1" applyFill="1" applyBorder="1" applyAlignment="1">
      <alignment horizontal="center" vertical="center"/>
    </xf>
    <xf numFmtId="190" fontId="92" fillId="53" borderId="0" xfId="234" applyNumberFormat="1" applyFont="1" applyFill="1" applyBorder="1" applyAlignment="1">
      <alignment horizontal="center" vertical="center"/>
    </xf>
    <xf numFmtId="190" fontId="95" fillId="5" borderId="0" xfId="234" applyNumberFormat="1" applyFont="1" applyFill="1" applyBorder="1"/>
    <xf numFmtId="0" fontId="4" fillId="0" borderId="0" xfId="232" applyFont="1"/>
    <xf numFmtId="9" fontId="10" fillId="5" borderId="0" xfId="0" applyNumberFormat="1" applyFont="1" applyFill="1" applyAlignment="1"/>
    <xf numFmtId="3" fontId="0" fillId="7" borderId="5" xfId="7" applyNumberFormat="1" applyFont="1" applyFill="1" applyAlignment="1">
      <alignment horizontal="right" wrapText="1"/>
    </xf>
    <xf numFmtId="3" fontId="10" fillId="2" borderId="5" xfId="7" applyNumberFormat="1" applyFill="1" applyAlignment="1">
      <alignment horizontal="right" wrapText="1"/>
    </xf>
    <xf numFmtId="3" fontId="10" fillId="7" borderId="5" xfId="7" applyNumberFormat="1" applyFill="1" applyAlignment="1">
      <alignment horizontal="right" wrapText="1"/>
    </xf>
    <xf numFmtId="3" fontId="10" fillId="2" borderId="6" xfId="8" applyNumberFormat="1" applyFill="1" applyAlignment="1">
      <alignment horizontal="right" wrapText="1"/>
    </xf>
    <xf numFmtId="3" fontId="10" fillId="7" borderId="6" xfId="8" applyNumberFormat="1" applyFill="1" applyAlignment="1">
      <alignment horizontal="right" wrapText="1"/>
    </xf>
    <xf numFmtId="3" fontId="8" fillId="7" borderId="6" xfId="10" applyNumberFormat="1" applyFill="1" applyAlignment="1">
      <alignment horizontal="right" wrapText="1"/>
    </xf>
    <xf numFmtId="0" fontId="0" fillId="0" borderId="4" xfId="6" applyFont="1" applyAlignment="1">
      <alignment horizontal="left" wrapText="1"/>
    </xf>
    <xf numFmtId="0" fontId="8" fillId="0" borderId="0" xfId="3" applyNumberFormat="1" applyAlignment="1">
      <alignment horizontal="right" wrapText="1"/>
    </xf>
    <xf numFmtId="0" fontId="8" fillId="0" borderId="0" xfId="3" applyNumberFormat="1" applyAlignment="1">
      <alignment horizontal="right"/>
    </xf>
    <xf numFmtId="1" fontId="8" fillId="0" borderId="3" xfId="4" applyNumberFormat="1" applyAlignment="1">
      <alignment horizontal="right" wrapText="1"/>
    </xf>
    <xf numFmtId="0" fontId="8" fillId="2" borderId="3" xfId="4" applyNumberFormat="1" applyFill="1" applyAlignment="1">
      <alignment horizontal="right" wrapText="1"/>
    </xf>
    <xf numFmtId="0" fontId="10" fillId="0" borderId="4" xfId="6" applyFont="1" applyBorder="1" applyAlignment="1"/>
    <xf numFmtId="0" fontId="8" fillId="0" borderId="0" xfId="0" applyFont="1" applyFill="1" applyAlignment="1"/>
    <xf numFmtId="0" fontId="8" fillId="0" borderId="0" xfId="3" applyNumberFormat="1" applyFill="1" applyAlignment="1">
      <alignment horizontal="right" wrapText="1"/>
    </xf>
    <xf numFmtId="0" fontId="8" fillId="0" borderId="0" xfId="2" applyNumberFormat="1" applyFill="1" applyBorder="1" applyAlignment="1">
      <alignment horizontal="right"/>
    </xf>
    <xf numFmtId="0" fontId="8" fillId="0" borderId="0" xfId="2" applyNumberFormat="1" applyBorder="1" applyAlignment="1"/>
    <xf numFmtId="0" fontId="8" fillId="0" borderId="3" xfId="4" applyNumberFormat="1" applyFill="1" applyAlignment="1">
      <alignment horizontal="right" wrapText="1"/>
    </xf>
    <xf numFmtId="0" fontId="8" fillId="0" borderId="6" xfId="10" applyFont="1" applyFill="1" applyAlignment="1">
      <alignment horizontal="right" wrapText="1"/>
    </xf>
    <xf numFmtId="0" fontId="8" fillId="7" borderId="0" xfId="3" applyNumberFormat="1" applyFill="1" applyAlignment="1">
      <alignment horizontal="right" wrapText="1"/>
    </xf>
    <xf numFmtId="0" fontId="8" fillId="7" borderId="3" xfId="4" applyNumberFormat="1" applyFill="1" applyAlignment="1">
      <alignment horizontal="right" wrapText="1"/>
    </xf>
    <xf numFmtId="0" fontId="8" fillId="7" borderId="0" xfId="10" applyFont="1" applyFill="1" applyBorder="1" applyAlignment="1">
      <alignment horizontal="right" wrapText="1"/>
    </xf>
    <xf numFmtId="4" fontId="0" fillId="0" borderId="0" xfId="0" applyNumberFormat="1" applyFont="1" applyAlignment="1"/>
    <xf numFmtId="0" fontId="0" fillId="0" borderId="4" xfId="6" applyFont="1" applyAlignment="1">
      <alignment wrapText="1"/>
    </xf>
    <xf numFmtId="0" fontId="99" fillId="0" borderId="0" xfId="0" applyFont="1" applyAlignment="1"/>
    <xf numFmtId="3" fontId="8" fillId="54" borderId="6" xfId="10" applyNumberFormat="1" applyFill="1" applyAlignment="1">
      <alignment horizontal="right" wrapText="1"/>
    </xf>
    <xf numFmtId="0" fontId="100" fillId="0" borderId="0" xfId="11" applyFont="1" applyAlignment="1"/>
    <xf numFmtId="0" fontId="101" fillId="0" borderId="0" xfId="11" applyFont="1" applyAlignment="1"/>
    <xf numFmtId="0" fontId="101" fillId="0" borderId="0" xfId="11" applyFont="1" applyAlignment="1">
      <alignment horizontal="left"/>
    </xf>
    <xf numFmtId="0" fontId="101" fillId="0" borderId="0" xfId="11" applyFont="1"/>
    <xf numFmtId="3" fontId="0" fillId="54" borderId="5" xfId="7" applyNumberFormat="1" applyFont="1" applyFill="1" applyAlignment="1">
      <alignment horizontal="right" wrapText="1"/>
    </xf>
    <xf numFmtId="1" fontId="8" fillId="54" borderId="3" xfId="2" applyNumberFormat="1" applyFont="1" applyFill="1" applyAlignment="1">
      <alignment horizontal="right" wrapText="1"/>
    </xf>
    <xf numFmtId="0" fontId="13" fillId="0" borderId="0" xfId="0" applyFont="1" applyFill="1" applyAlignment="1">
      <alignment horizontal="left" vertical="top"/>
    </xf>
    <xf numFmtId="0" fontId="13" fillId="0" borderId="0" xfId="0" applyFont="1" applyAlignment="1">
      <alignment horizontal="left" vertical="top"/>
    </xf>
    <xf numFmtId="0" fontId="8" fillId="50" borderId="6" xfId="10" applyFill="1" applyAlignment="1">
      <alignment wrapText="1"/>
    </xf>
    <xf numFmtId="0" fontId="0" fillId="50" borderId="5" xfId="7" applyFont="1" applyFill="1" applyAlignment="1">
      <alignment horizontal="left" wrapText="1" indent="1"/>
    </xf>
    <xf numFmtId="0" fontId="0" fillId="50" borderId="5" xfId="7" applyFont="1" applyFill="1" applyAlignment="1">
      <alignment wrapText="1"/>
    </xf>
    <xf numFmtId="4" fontId="8" fillId="54" borderId="6" xfId="10" applyNumberFormat="1" applyFill="1" applyAlignment="1">
      <alignment horizontal="right" wrapText="1"/>
    </xf>
    <xf numFmtId="0" fontId="8" fillId="50" borderId="7" xfId="9" applyFont="1" applyFill="1" applyBorder="1" applyAlignment="1">
      <alignment wrapText="1"/>
    </xf>
    <xf numFmtId="4" fontId="10" fillId="54" borderId="5" xfId="7" applyNumberFormat="1" applyFill="1" applyAlignment="1">
      <alignment horizontal="right" wrapText="1"/>
    </xf>
    <xf numFmtId="0" fontId="10" fillId="50" borderId="6" xfId="8" applyFill="1" applyAlignment="1">
      <alignment wrapText="1"/>
    </xf>
    <xf numFmtId="4" fontId="10" fillId="54" borderId="6" xfId="8" applyNumberFormat="1" applyFill="1" applyAlignment="1">
      <alignment horizontal="right" wrapText="1"/>
    </xf>
    <xf numFmtId="0" fontId="0" fillId="50" borderId="6" xfId="8" applyFont="1" applyFill="1" applyAlignment="1">
      <alignment wrapText="1"/>
    </xf>
    <xf numFmtId="4" fontId="0" fillId="54" borderId="5" xfId="7" applyNumberFormat="1" applyFont="1" applyFill="1" applyAlignment="1">
      <alignment horizontal="right" wrapText="1"/>
    </xf>
    <xf numFmtId="0" fontId="0" fillId="50" borderId="11" xfId="7" applyFont="1" applyFill="1" applyBorder="1" applyAlignment="1">
      <alignment horizontal="left" wrapText="1" indent="1"/>
    </xf>
    <xf numFmtId="0" fontId="0" fillId="50" borderId="0" xfId="0" applyFont="1" applyFill="1" applyAlignment="1">
      <alignment horizontal="left" indent="1"/>
    </xf>
    <xf numFmtId="0" fontId="0" fillId="50" borderId="11" xfId="7" applyFont="1" applyFill="1" applyBorder="1" applyAlignment="1">
      <alignment wrapText="1"/>
    </xf>
    <xf numFmtId="4" fontId="8" fillId="54" borderId="6" xfId="9" applyNumberFormat="1" applyFont="1" applyFill="1" applyAlignment="1">
      <alignment horizontal="right" wrapText="1"/>
    </xf>
    <xf numFmtId="2" fontId="0" fillId="54" borderId="5" xfId="7" applyNumberFormat="1" applyFont="1" applyFill="1" applyAlignment="1">
      <alignment horizontal="right" wrapText="1"/>
    </xf>
    <xf numFmtId="0" fontId="13" fillId="0" borderId="0" xfId="0" applyFont="1" applyAlignment="1"/>
    <xf numFmtId="0" fontId="0" fillId="0" borderId="4" xfId="6" applyFont="1" applyFill="1" applyAlignment="1">
      <alignment horizontal="right" wrapText="1"/>
    </xf>
    <xf numFmtId="3" fontId="0" fillId="0" borderId="5" xfId="7" quotePrefix="1" applyNumberFormat="1" applyFont="1" applyAlignment="1">
      <alignment horizontal="right" wrapText="1"/>
    </xf>
    <xf numFmtId="3" fontId="0" fillId="54" borderId="5" xfId="7" quotePrefix="1" applyNumberFormat="1" applyFont="1" applyFill="1" applyAlignment="1">
      <alignment horizontal="right" wrapText="1"/>
    </xf>
    <xf numFmtId="0" fontId="0" fillId="50" borderId="11" xfId="7" applyFont="1" applyFill="1" applyBorder="1" applyAlignment="1">
      <alignment horizontal="left" wrapText="1"/>
    </xf>
    <xf numFmtId="0" fontId="0" fillId="50" borderId="8" xfId="7" applyFont="1" applyFill="1" applyBorder="1" applyAlignment="1">
      <alignment wrapText="1"/>
    </xf>
    <xf numFmtId="0" fontId="0" fillId="0" borderId="5" xfId="7" applyFont="1" applyBorder="1" applyAlignment="1"/>
    <xf numFmtId="0" fontId="0" fillId="0" borderId="5" xfId="7" applyFont="1" applyBorder="1" applyAlignment="1">
      <alignment horizontal="left"/>
    </xf>
    <xf numFmtId="0" fontId="0" fillId="0" borderId="4" xfId="6" applyFont="1" applyBorder="1" applyAlignment="1">
      <alignment horizontal="right" wrapText="1"/>
    </xf>
    <xf numFmtId="0" fontId="0" fillId="0" borderId="4" xfId="6" applyFont="1" applyBorder="1" applyAlignment="1">
      <alignment wrapText="1"/>
    </xf>
    <xf numFmtId="0" fontId="0" fillId="0" borderId="0" xfId="7" applyFont="1" applyFill="1" applyBorder="1" applyAlignment="1">
      <alignment horizontal="right" wrapText="1"/>
    </xf>
    <xf numFmtId="0" fontId="8" fillId="0" borderId="0" xfId="7" applyFont="1" applyBorder="1" applyAlignment="1">
      <alignment horizontal="left"/>
    </xf>
    <xf numFmtId="0" fontId="0" fillId="0" borderId="0" xfId="7" applyFont="1" applyBorder="1" applyAlignment="1">
      <alignment horizontal="left"/>
    </xf>
    <xf numFmtId="0" fontId="13" fillId="0" borderId="0" xfId="0" applyFont="1" applyAlignment="1">
      <alignment vertical="center"/>
    </xf>
    <xf numFmtId="3" fontId="10" fillId="54" borderId="5" xfId="7" applyNumberFormat="1" applyFill="1" applyAlignment="1">
      <alignment horizontal="right"/>
    </xf>
    <xf numFmtId="3" fontId="0" fillId="3" borderId="6" xfId="8" applyNumberFormat="1" applyFont="1" applyFill="1" applyAlignment="1">
      <alignment horizontal="right" wrapText="1"/>
    </xf>
    <xf numFmtId="3" fontId="0" fillId="54" borderId="6" xfId="8" applyNumberFormat="1" applyFont="1" applyFill="1" applyAlignment="1">
      <alignment horizontal="right" wrapText="1"/>
    </xf>
    <xf numFmtId="0" fontId="0" fillId="50" borderId="12" xfId="8" applyFont="1" applyFill="1" applyBorder="1" applyAlignment="1">
      <alignment wrapText="1"/>
    </xf>
    <xf numFmtId="0" fontId="0" fillId="50" borderId="9" xfId="7" applyFont="1" applyFill="1" applyBorder="1" applyAlignment="1">
      <alignment wrapText="1"/>
    </xf>
    <xf numFmtId="0" fontId="0" fillId="50" borderId="5" xfId="7" applyFont="1" applyFill="1" applyBorder="1" applyAlignment="1">
      <alignment wrapText="1"/>
    </xf>
    <xf numFmtId="0" fontId="0" fillId="50" borderId="10" xfId="8" applyFont="1" applyFill="1" applyBorder="1" applyAlignment="1">
      <alignment wrapText="1"/>
    </xf>
    <xf numFmtId="0" fontId="0" fillId="0" borderId="10" xfId="8" applyFont="1" applyFill="1" applyBorder="1" applyAlignment="1">
      <alignment wrapText="1"/>
    </xf>
    <xf numFmtId="2" fontId="0" fillId="54" borderId="6" xfId="8" applyNumberFormat="1" applyFont="1" applyFill="1" applyAlignment="1">
      <alignment horizontal="right" wrapText="1"/>
    </xf>
    <xf numFmtId="3" fontId="8" fillId="54" borderId="5" xfId="7" applyNumberFormat="1" applyFont="1" applyFill="1" applyAlignment="1">
      <alignment horizontal="right" wrapText="1"/>
    </xf>
    <xf numFmtId="0" fontId="8" fillId="0" borderId="9" xfId="7" applyFont="1" applyBorder="1" applyAlignment="1"/>
    <xf numFmtId="0" fontId="10" fillId="50" borderId="11" xfId="7" applyFont="1" applyFill="1" applyBorder="1" applyAlignment="1">
      <alignment wrapText="1"/>
    </xf>
    <xf numFmtId="3" fontId="8" fillId="3" borderId="6" xfId="10" applyNumberFormat="1" applyFont="1" applyFill="1" applyAlignment="1">
      <alignment horizontal="right" wrapText="1"/>
    </xf>
    <xf numFmtId="3" fontId="8" fillId="54" borderId="6" xfId="10" applyNumberFormat="1" applyFont="1" applyFill="1" applyAlignment="1">
      <alignment horizontal="right" wrapText="1"/>
    </xf>
    <xf numFmtId="3" fontId="10" fillId="54" borderId="6" xfId="8" applyNumberFormat="1" applyFill="1" applyAlignment="1">
      <alignment horizontal="right" wrapText="1"/>
    </xf>
    <xf numFmtId="3" fontId="10" fillId="54" borderId="5" xfId="7" applyNumberFormat="1" applyFill="1" applyAlignment="1">
      <alignment horizontal="right" wrapText="1"/>
    </xf>
    <xf numFmtId="0" fontId="0" fillId="0" borderId="9" xfId="7" applyFont="1" applyFill="1" applyBorder="1" applyAlignment="1">
      <alignment horizontal="left" wrapText="1"/>
    </xf>
    <xf numFmtId="0" fontId="0" fillId="50" borderId="9" xfId="7" applyFont="1" applyFill="1" applyBorder="1" applyAlignment="1">
      <alignment horizontal="left" wrapText="1" indent="1"/>
    </xf>
    <xf numFmtId="0" fontId="8" fillId="50" borderId="10" xfId="10" applyFont="1" applyFill="1" applyBorder="1" applyAlignment="1">
      <alignment wrapText="1"/>
    </xf>
    <xf numFmtId="3" fontId="10" fillId="54" borderId="6" xfId="8" applyNumberFormat="1" applyFill="1" applyAlignment="1">
      <alignment horizontal="right"/>
    </xf>
    <xf numFmtId="0" fontId="8" fillId="54" borderId="3" xfId="4" applyNumberFormat="1" applyFill="1" applyAlignment="1">
      <alignment horizontal="right" wrapText="1"/>
    </xf>
    <xf numFmtId="0" fontId="8" fillId="54" borderId="0" xfId="3" applyNumberFormat="1" applyFill="1" applyAlignment="1">
      <alignment horizontal="right" wrapText="1"/>
    </xf>
    <xf numFmtId="0" fontId="101" fillId="0" borderId="0" xfId="11" applyFont="1" applyAlignment="1">
      <alignment horizontal="center"/>
    </xf>
    <xf numFmtId="0" fontId="103" fillId="0" borderId="0" xfId="0" applyFont="1" applyAlignment="1"/>
    <xf numFmtId="0" fontId="101" fillId="0" borderId="0" xfId="11" applyFont="1" applyAlignment="1">
      <alignment horizontal="center" vertical="center"/>
    </xf>
    <xf numFmtId="0" fontId="0" fillId="0" borderId="0" xfId="0" applyAlignment="1">
      <alignment horizontal="left"/>
    </xf>
    <xf numFmtId="0" fontId="99" fillId="0" borderId="0" xfId="0" applyFont="1" applyAlignment="1">
      <alignment horizontal="left"/>
    </xf>
    <xf numFmtId="0" fontId="104" fillId="0" borderId="0" xfId="0" applyFont="1" applyAlignment="1">
      <alignment horizontal="left"/>
    </xf>
    <xf numFmtId="0" fontId="101" fillId="5" borderId="0" xfId="11" applyFont="1" applyFill="1" applyAlignment="1">
      <alignment horizontal="left"/>
    </xf>
    <xf numFmtId="0" fontId="8" fillId="0" borderId="10" xfId="10" applyFont="1" applyFill="1" applyBorder="1" applyAlignment="1">
      <alignment wrapText="1"/>
    </xf>
    <xf numFmtId="0" fontId="0" fillId="0" borderId="9" xfId="7" applyFont="1" applyFill="1" applyBorder="1" applyAlignment="1">
      <alignment horizontal="left" wrapText="1" indent="1"/>
    </xf>
    <xf numFmtId="0" fontId="0" fillId="0" borderId="5" xfId="7" applyFont="1" applyFill="1" applyBorder="1" applyAlignment="1">
      <alignment wrapText="1"/>
    </xf>
    <xf numFmtId="0" fontId="0" fillId="0" borderId="0" xfId="0" applyFont="1" applyAlignment="1">
      <alignment vertical="center"/>
    </xf>
    <xf numFmtId="0" fontId="10" fillId="0" borderId="6" xfId="8" applyFill="1" applyAlignment="1">
      <alignment horizontal="left" wrapText="1"/>
    </xf>
    <xf numFmtId="3" fontId="8" fillId="7" borderId="6" xfId="10" applyNumberFormat="1" applyFont="1" applyFill="1" applyAlignment="1">
      <alignment horizontal="right" wrapText="1"/>
    </xf>
    <xf numFmtId="3" fontId="0" fillId="7" borderId="6" xfId="8" applyNumberFormat="1" applyFont="1" applyFill="1" applyAlignment="1">
      <alignment horizontal="right" wrapText="1"/>
    </xf>
    <xf numFmtId="2" fontId="0" fillId="7" borderId="6" xfId="8" applyNumberFormat="1" applyFont="1" applyFill="1" applyAlignment="1">
      <alignment horizontal="right" wrapText="1"/>
    </xf>
    <xf numFmtId="3" fontId="8" fillId="0" borderId="5" xfId="7" applyNumberFormat="1" applyFont="1" applyAlignment="1">
      <alignment horizontal="right" wrapText="1"/>
    </xf>
    <xf numFmtId="3" fontId="8" fillId="0" borderId="6" xfId="10" applyNumberFormat="1" applyFont="1" applyAlignment="1">
      <alignment horizontal="right" wrapText="1"/>
    </xf>
    <xf numFmtId="3" fontId="10" fillId="0" borderId="5" xfId="7" applyNumberFormat="1" applyFont="1" applyAlignment="1">
      <alignment horizontal="right" wrapText="1"/>
    </xf>
    <xf numFmtId="3" fontId="8" fillId="0" borderId="5" xfId="7" applyNumberFormat="1" applyFont="1" applyFill="1" applyAlignment="1">
      <alignment horizontal="right" wrapText="1"/>
    </xf>
    <xf numFmtId="3" fontId="8" fillId="0" borderId="6" xfId="10" applyNumberFormat="1" applyFont="1" applyFill="1" applyAlignment="1">
      <alignment horizontal="right" wrapText="1"/>
    </xf>
    <xf numFmtId="3" fontId="10" fillId="0" borderId="5" xfId="7" applyNumberFormat="1" applyFill="1" applyAlignment="1">
      <alignment horizontal="right" wrapText="1"/>
    </xf>
    <xf numFmtId="3" fontId="8" fillId="7" borderId="6" xfId="9" applyNumberFormat="1" applyFill="1" applyAlignment="1">
      <alignment horizontal="right" wrapText="1"/>
    </xf>
    <xf numFmtId="3" fontId="8" fillId="7" borderId="6" xfId="9" applyNumberFormat="1" applyFont="1" applyFill="1" applyAlignment="1">
      <alignment horizontal="right" wrapText="1"/>
    </xf>
    <xf numFmtId="3" fontId="10" fillId="0" borderId="6" xfId="8" applyNumberFormat="1" applyFill="1" applyAlignment="1">
      <alignment horizontal="right" wrapText="1"/>
    </xf>
    <xf numFmtId="3" fontId="8" fillId="0" borderId="6" xfId="9" applyNumberFormat="1" applyFont="1" applyFill="1" applyAlignment="1">
      <alignment horizontal="right" wrapText="1"/>
    </xf>
    <xf numFmtId="0" fontId="8" fillId="54" borderId="0" xfId="3" applyNumberFormat="1" applyFont="1" applyFill="1" applyAlignment="1">
      <alignment horizontal="right" wrapText="1"/>
    </xf>
    <xf numFmtId="0" fontId="8" fillId="0" borderId="0" xfId="3" applyNumberFormat="1" applyFont="1" applyAlignment="1">
      <alignment horizontal="right" wrapText="1"/>
    </xf>
    <xf numFmtId="0" fontId="8" fillId="0" borderId="0" xfId="3" applyNumberFormat="1" applyFont="1" applyAlignment="1">
      <alignment horizontal="right"/>
    </xf>
    <xf numFmtId="0" fontId="8" fillId="54" borderId="3" xfId="4" applyNumberFormat="1" applyFont="1" applyFill="1" applyAlignment="1">
      <alignment horizontal="right" wrapText="1"/>
    </xf>
    <xf numFmtId="1" fontId="8" fillId="0" borderId="3" xfId="4" applyNumberFormat="1" applyFont="1" applyAlignment="1">
      <alignment horizontal="right" wrapText="1"/>
    </xf>
    <xf numFmtId="0" fontId="8" fillId="2" borderId="3" xfId="4" applyNumberFormat="1" applyFont="1" applyFill="1" applyAlignment="1">
      <alignment horizontal="right" wrapText="1"/>
    </xf>
    <xf numFmtId="3" fontId="10" fillId="7" borderId="5" xfId="7" applyNumberFormat="1" applyFont="1" applyFill="1" applyAlignment="1">
      <alignment horizontal="right" wrapText="1"/>
    </xf>
    <xf numFmtId="3" fontId="8" fillId="7" borderId="5" xfId="7" applyNumberFormat="1" applyFont="1" applyFill="1" applyAlignment="1">
      <alignment horizontal="right" wrapText="1"/>
    </xf>
    <xf numFmtId="3" fontId="10" fillId="0" borderId="4" xfId="6" applyNumberFormat="1" applyFont="1" applyBorder="1" applyAlignment="1"/>
    <xf numFmtId="3" fontId="8" fillId="0" borderId="6" xfId="8" applyNumberFormat="1" applyFont="1" applyFill="1" applyAlignment="1">
      <alignment horizontal="right" wrapText="1"/>
    </xf>
    <xf numFmtId="3" fontId="8" fillId="0" borderId="6" xfId="9" applyNumberFormat="1" applyFill="1" applyAlignment="1">
      <alignment horizontal="right" wrapText="1"/>
    </xf>
    <xf numFmtId="3" fontId="0" fillId="0" borderId="6" xfId="8" applyNumberFormat="1" applyFont="1" applyFill="1" applyAlignment="1">
      <alignment horizontal="right" wrapText="1"/>
    </xf>
    <xf numFmtId="0" fontId="8" fillId="0" borderId="0" xfId="7" applyFont="1" applyBorder="1" applyAlignment="1">
      <alignment wrapText="1"/>
    </xf>
    <xf numFmtId="0" fontId="0" fillId="0" borderId="0" xfId="0" applyBorder="1" applyAlignment="1"/>
    <xf numFmtId="0" fontId="0" fillId="0" borderId="0" xfId="0" applyAlignment="1">
      <alignment horizontal="left" vertical="center" wrapText="1"/>
    </xf>
    <xf numFmtId="0" fontId="0" fillId="0" borderId="0" xfId="6" applyFont="1" applyFill="1" applyBorder="1" applyAlignment="1">
      <alignment horizontal="right" wrapText="1"/>
    </xf>
    <xf numFmtId="0" fontId="0" fillId="0" borderId="0" xfId="0" applyAlignment="1">
      <alignment horizontal="left" vertical="center"/>
    </xf>
    <xf numFmtId="0" fontId="8" fillId="0" borderId="0" xfId="0" applyFont="1" applyBorder="1" applyAlignment="1">
      <alignment vertical="center"/>
    </xf>
    <xf numFmtId="0" fontId="0" fillId="0" borderId="0" xfId="6" applyFont="1" applyFill="1" applyBorder="1" applyAlignment="1"/>
    <xf numFmtId="0" fontId="10" fillId="0" borderId="11" xfId="7" applyFont="1" applyFill="1" applyBorder="1" applyAlignment="1">
      <alignment horizontal="left" wrapText="1" indent="1"/>
    </xf>
    <xf numFmtId="0" fontId="10" fillId="0" borderId="9" xfId="7" applyFont="1" applyFill="1" applyBorder="1" applyAlignment="1">
      <alignment horizontal="left" wrapText="1" indent="1"/>
    </xf>
    <xf numFmtId="0" fontId="8" fillId="0" borderId="9" xfId="7" applyFont="1" applyFill="1" applyBorder="1" applyAlignment="1"/>
    <xf numFmtId="0" fontId="10" fillId="0" borderId="9" xfId="7" applyFont="1" applyFill="1" applyBorder="1" applyAlignment="1">
      <alignment wrapText="1"/>
    </xf>
    <xf numFmtId="0" fontId="0" fillId="0" borderId="12" xfId="8" applyFont="1" applyFill="1" applyBorder="1" applyAlignment="1">
      <alignment wrapText="1"/>
    </xf>
    <xf numFmtId="0" fontId="0" fillId="0" borderId="0" xfId="0" applyFont="1" applyFill="1" applyAlignment="1">
      <alignment horizontal="left" inden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106" fillId="0" borderId="0" xfId="0" applyFont="1" applyAlignment="1">
      <alignment vertical="center"/>
    </xf>
    <xf numFmtId="0" fontId="107" fillId="0" borderId="0" xfId="0" applyFont="1" applyAlignment="1">
      <alignment vertical="center"/>
    </xf>
    <xf numFmtId="0" fontId="10" fillId="55" borderId="5" xfId="7" applyFill="1" applyAlignment="1">
      <alignment vertical="center"/>
    </xf>
    <xf numFmtId="0" fontId="10" fillId="55" borderId="5" xfId="7" applyFill="1" applyAlignment="1">
      <alignment horizontal="right" vertical="center" indent="1"/>
    </xf>
    <xf numFmtId="0" fontId="10" fillId="55" borderId="5" xfId="7" applyFill="1" applyAlignment="1">
      <alignment horizontal="right" vertical="center"/>
    </xf>
    <xf numFmtId="0" fontId="8" fillId="55" borderId="6" xfId="9" applyFill="1" applyAlignment="1">
      <alignment vertical="center"/>
    </xf>
    <xf numFmtId="0" fontId="8" fillId="55" borderId="6" xfId="9" applyFill="1" applyAlignment="1">
      <alignment horizontal="right" vertical="center" indent="1"/>
    </xf>
    <xf numFmtId="0" fontId="10" fillId="7" borderId="5" xfId="7" applyFill="1" applyAlignment="1">
      <alignment horizontal="right" vertical="center"/>
    </xf>
    <xf numFmtId="0" fontId="8" fillId="7" borderId="6" xfId="9" applyFill="1" applyAlignment="1">
      <alignment horizontal="right" vertical="center"/>
    </xf>
    <xf numFmtId="0" fontId="8" fillId="55" borderId="0" xfId="3" applyNumberFormat="1" applyFill="1" applyAlignment="1">
      <alignment vertical="center" wrapText="1"/>
    </xf>
    <xf numFmtId="0" fontId="8" fillId="7" borderId="0" xfId="3" applyNumberFormat="1" applyFill="1" applyAlignment="1">
      <alignment horizontal="center" vertical="center" wrapText="1"/>
    </xf>
    <xf numFmtId="0" fontId="8" fillId="55" borderId="0" xfId="3" applyNumberFormat="1" applyFill="1" applyAlignment="1">
      <alignment horizontal="center" vertical="center" wrapText="1"/>
    </xf>
    <xf numFmtId="1" fontId="10" fillId="0" borderId="26" xfId="230" applyNumberFormat="1" applyFont="1" applyFill="1" applyBorder="1" applyAlignment="1">
      <alignment horizontal="right" vertical="center"/>
    </xf>
    <xf numFmtId="190" fontId="0" fillId="5" borderId="2" xfId="234" applyNumberFormat="1" applyFont="1" applyFill="1" applyBorder="1" applyAlignment="1">
      <alignment horizontal="right" vertical="center"/>
    </xf>
    <xf numFmtId="49" fontId="0" fillId="0" borderId="0" xfId="0" applyNumberFormat="1" applyAlignment="1"/>
    <xf numFmtId="0" fontId="0" fillId="0" borderId="0" xfId="0" applyNumberFormat="1" applyAlignment="1"/>
    <xf numFmtId="0" fontId="10" fillId="55" borderId="9" xfId="7" applyFill="1" applyBorder="1" applyAlignment="1">
      <alignment horizontal="right" vertical="center" indent="1"/>
    </xf>
    <xf numFmtId="0" fontId="8" fillId="55" borderId="12" xfId="9" applyFill="1" applyBorder="1" applyAlignment="1">
      <alignment horizontal="right" vertical="center"/>
    </xf>
    <xf numFmtId="3" fontId="0" fillId="0" borderId="0" xfId="0" applyNumberFormat="1" applyFill="1" applyAlignment="1">
      <alignment horizontal="right" wrapText="1"/>
    </xf>
    <xf numFmtId="0" fontId="0" fillId="0" borderId="0" xfId="0" applyFill="1" applyAlignment="1">
      <alignment horizontal="left" wrapText="1" indent="1"/>
    </xf>
    <xf numFmtId="3" fontId="0" fillId="7" borderId="0" xfId="0" applyNumberFormat="1" applyFill="1" applyAlignment="1">
      <alignment horizontal="right" wrapText="1"/>
    </xf>
    <xf numFmtId="0" fontId="10" fillId="0" borderId="0" xfId="6" applyFont="1" applyBorder="1" applyAlignment="1"/>
    <xf numFmtId="0" fontId="0" fillId="0" borderId="0" xfId="0" applyNumberFormat="1" applyFill="1" applyAlignment="1">
      <alignment wrapText="1"/>
    </xf>
    <xf numFmtId="0" fontId="219" fillId="0" borderId="59" xfId="7146" applyFill="1" applyAlignment="1"/>
    <xf numFmtId="0" fontId="220" fillId="0" borderId="60" xfId="7147" applyFill="1" applyAlignment="1"/>
    <xf numFmtId="0" fontId="222" fillId="0" borderId="59" xfId="219" applyFill="1" applyAlignment="1">
      <alignment wrapText="1"/>
    </xf>
    <xf numFmtId="3" fontId="222" fillId="0" borderId="59" xfId="219" applyNumberFormat="1" applyFill="1" applyAlignment="1">
      <alignment horizontal="right" wrapText="1"/>
    </xf>
    <xf numFmtId="0" fontId="88" fillId="0" borderId="0" xfId="7150" applyNumberFormat="1" applyFill="1" applyAlignment="1">
      <alignment horizontal="left" wrapText="1" readingOrder="1"/>
    </xf>
    <xf numFmtId="3" fontId="88" fillId="0" borderId="0" xfId="7150" applyNumberFormat="1" applyFill="1" applyAlignment="1">
      <alignment horizontal="right" wrapText="1"/>
    </xf>
    <xf numFmtId="0" fontId="88" fillId="0" borderId="0" xfId="7150" applyFill="1" applyAlignment="1">
      <alignment wrapText="1"/>
    </xf>
    <xf numFmtId="3" fontId="88" fillId="7" borderId="0" xfId="7150" applyNumberFormat="1" applyFill="1" applyAlignment="1">
      <alignment horizontal="right" wrapText="1"/>
    </xf>
    <xf numFmtId="3" fontId="222" fillId="7" borderId="59" xfId="219" applyNumberFormat="1" applyFill="1" applyAlignment="1">
      <alignment horizontal="right" wrapText="1"/>
    </xf>
    <xf numFmtId="0" fontId="10" fillId="0" borderId="0" xfId="6" applyNumberFormat="1" applyFill="1" applyBorder="1" applyAlignment="1">
      <alignment vertical="center"/>
    </xf>
    <xf numFmtId="0" fontId="10" fillId="0" borderId="0" xfId="6" applyNumberFormat="1" applyFill="1" applyBorder="1" applyAlignment="1"/>
    <xf numFmtId="0" fontId="0" fillId="0" borderId="0" xfId="0" applyFill="1" applyAlignment="1">
      <alignment vertical="center"/>
    </xf>
    <xf numFmtId="0" fontId="0" fillId="0" borderId="0" xfId="0" applyNumberFormat="1" applyFill="1" applyAlignment="1">
      <alignment vertical="center"/>
    </xf>
    <xf numFmtId="3" fontId="0" fillId="0" borderId="0" xfId="0" applyNumberFormat="1" applyFill="1" applyAlignment="1">
      <alignment horizontal="right" vertical="center"/>
    </xf>
    <xf numFmtId="0" fontId="220" fillId="0" borderId="60" xfId="7147" applyFill="1" applyAlignment="1">
      <alignment vertical="center"/>
    </xf>
    <xf numFmtId="0" fontId="220" fillId="0" borderId="60" xfId="7147" applyFill="1" applyAlignment="1">
      <alignment horizontal="center" vertical="center"/>
    </xf>
    <xf numFmtId="3" fontId="0" fillId="7" borderId="0" xfId="0" applyNumberFormat="1" applyFill="1" applyAlignment="1">
      <alignment horizontal="right" vertical="center"/>
    </xf>
    <xf numFmtId="3" fontId="222" fillId="7" borderId="59" xfId="219" applyNumberFormat="1" applyFill="1" applyAlignment="1">
      <alignment horizontal="right" vertical="center"/>
    </xf>
    <xf numFmtId="3" fontId="222" fillId="0" borderId="59" xfId="219" applyNumberFormat="1" applyFill="1" applyAlignment="1">
      <alignment horizontal="right" vertical="center"/>
    </xf>
    <xf numFmtId="0" fontId="222" fillId="0" borderId="59" xfId="219" applyFill="1" applyAlignment="1">
      <alignment vertical="center"/>
    </xf>
    <xf numFmtId="0" fontId="88" fillId="0" borderId="0" xfId="7150" applyFill="1" applyAlignment="1">
      <alignment vertical="center"/>
    </xf>
    <xf numFmtId="3" fontId="88" fillId="7" borderId="0" xfId="7150" applyNumberFormat="1" applyFill="1" applyAlignment="1">
      <alignment horizontal="right" vertical="center"/>
    </xf>
    <xf numFmtId="3" fontId="88" fillId="0" borderId="0" xfId="7150" applyNumberFormat="1" applyFill="1" applyAlignment="1">
      <alignment horizontal="right" vertical="center"/>
    </xf>
    <xf numFmtId="0" fontId="88" fillId="0" borderId="0" xfId="7150" applyNumberFormat="1" applyFill="1" applyAlignment="1">
      <alignment wrapText="1"/>
    </xf>
    <xf numFmtId="0" fontId="88" fillId="7" borderId="0" xfId="7150" applyNumberFormat="1" applyFill="1" applyAlignment="1">
      <alignment horizontal="right" wrapText="1"/>
    </xf>
    <xf numFmtId="0" fontId="222" fillId="0" borderId="59" xfId="219" applyNumberFormat="1" applyFill="1" applyAlignment="1">
      <alignment wrapText="1"/>
    </xf>
    <xf numFmtId="0" fontId="222" fillId="7" borderId="59" xfId="219" applyNumberFormat="1" applyFill="1" applyAlignment="1">
      <alignment horizontal="right" wrapText="1"/>
    </xf>
    <xf numFmtId="0" fontId="222" fillId="0" borderId="59" xfId="219" applyNumberFormat="1" applyFill="1" applyAlignment="1">
      <alignment horizontal="right" vertical="center"/>
    </xf>
    <xf numFmtId="0" fontId="222" fillId="0" borderId="59" xfId="219" applyNumberFormat="1" applyFill="1" applyAlignment="1">
      <alignment horizontal="right" wrapText="1"/>
    </xf>
    <xf numFmtId="0" fontId="222" fillId="0" borderId="59" xfId="219" applyNumberFormat="1" applyFill="1" applyAlignment="1">
      <alignment horizontal="right" vertical="center" wrapText="1"/>
    </xf>
    <xf numFmtId="0" fontId="222" fillId="0" borderId="59" xfId="219" applyNumberFormat="1" applyFill="1" applyAlignment="1">
      <alignment vertical="center"/>
    </xf>
    <xf numFmtId="0" fontId="222" fillId="7" borderId="59" xfId="219" applyNumberFormat="1" applyFill="1" applyAlignment="1">
      <alignment horizontal="right" vertical="center"/>
    </xf>
    <xf numFmtId="0" fontId="222" fillId="0" borderId="59" xfId="219" applyNumberFormat="1" applyFill="1" applyAlignment="1">
      <alignment horizontal="center" wrapText="1"/>
    </xf>
    <xf numFmtId="0" fontId="223" fillId="111" borderId="0" xfId="0" applyFont="1" applyFill="1" applyAlignment="1"/>
    <xf numFmtId="0" fontId="224" fillId="111" borderId="59" xfId="7146" applyFont="1" applyFill="1" applyAlignment="1"/>
    <xf numFmtId="0" fontId="105" fillId="111" borderId="60" xfId="7147" applyNumberFormat="1" applyFont="1" applyFill="1" applyAlignment="1">
      <alignment vertical="center" wrapText="1"/>
    </xf>
    <xf numFmtId="0" fontId="223" fillId="111" borderId="0" xfId="0" applyNumberFormat="1" applyFont="1" applyFill="1" applyAlignment="1">
      <alignment vertical="center" wrapText="1"/>
    </xf>
    <xf numFmtId="3" fontId="223" fillId="7" borderId="0" xfId="0" applyNumberFormat="1" applyFont="1" applyFill="1" applyAlignment="1">
      <alignment horizontal="right" vertical="center" wrapText="1"/>
    </xf>
    <xf numFmtId="3" fontId="223" fillId="111" borderId="0" xfId="0" applyNumberFormat="1" applyFont="1" applyFill="1" applyAlignment="1">
      <alignment horizontal="right" vertical="center" wrapText="1"/>
    </xf>
    <xf numFmtId="1" fontId="223" fillId="111" borderId="0" xfId="0" applyNumberFormat="1" applyFont="1" applyFill="1" applyAlignment="1">
      <alignment horizontal="right" vertical="center" wrapText="1"/>
    </xf>
    <xf numFmtId="1" fontId="223" fillId="111" borderId="0" xfId="0" applyNumberFormat="1" applyFont="1" applyFill="1" applyAlignment="1"/>
    <xf numFmtId="0" fontId="10" fillId="111" borderId="6" xfId="8" applyNumberFormat="1" applyFont="1" applyFill="1" applyAlignment="1"/>
    <xf numFmtId="1" fontId="223" fillId="7" borderId="0" xfId="0" applyNumberFormat="1" applyFont="1" applyFill="1" applyAlignment="1">
      <alignment horizontal="right" vertical="center" wrapText="1"/>
    </xf>
    <xf numFmtId="0" fontId="223" fillId="111" borderId="0" xfId="0" applyFont="1" applyFill="1" applyAlignment="1">
      <alignment vertical="center" wrapText="1"/>
    </xf>
    <xf numFmtId="2" fontId="223" fillId="7" borderId="0" xfId="0" applyNumberFormat="1" applyFont="1" applyFill="1" applyAlignment="1">
      <alignment horizontal="right" vertical="center" wrapText="1"/>
    </xf>
    <xf numFmtId="2" fontId="223" fillId="111" borderId="0" xfId="0" applyNumberFormat="1" applyFont="1" applyFill="1" applyAlignment="1">
      <alignment horizontal="right" vertical="center" wrapText="1"/>
    </xf>
    <xf numFmtId="4" fontId="223" fillId="111" borderId="0" xfId="0" applyNumberFormat="1" applyFont="1" applyFill="1" applyAlignment="1">
      <alignment horizontal="right" vertical="center" wrapText="1"/>
    </xf>
    <xf numFmtId="4" fontId="223" fillId="7" borderId="0" xfId="0" applyNumberFormat="1" applyFont="1" applyFill="1" applyAlignment="1">
      <alignment horizontal="right" vertical="center" wrapText="1"/>
    </xf>
    <xf numFmtId="0" fontId="223" fillId="111" borderId="0" xfId="0" applyFont="1" applyFill="1" applyAlignment="1">
      <alignment wrapText="1"/>
    </xf>
    <xf numFmtId="4" fontId="223" fillId="7" borderId="0" xfId="0" applyNumberFormat="1" applyFont="1" applyFill="1" applyAlignment="1">
      <alignment horizontal="right" wrapText="1"/>
    </xf>
    <xf numFmtId="4" fontId="223" fillId="111" borderId="0" xfId="0" applyNumberFormat="1" applyFont="1" applyFill="1" applyAlignment="1">
      <alignment horizontal="right" wrapText="1"/>
    </xf>
    <xf numFmtId="9" fontId="223" fillId="111" borderId="0" xfId="0" applyNumberFormat="1" applyFont="1" applyFill="1" applyAlignment="1"/>
    <xf numFmtId="0" fontId="224" fillId="0" borderId="59" xfId="7146" applyFont="1" applyFill="1" applyAlignment="1"/>
    <xf numFmtId="0" fontId="223" fillId="0" borderId="0" xfId="0" applyFont="1" applyAlignment="1"/>
    <xf numFmtId="0" fontId="225" fillId="7" borderId="59" xfId="219" applyNumberFormat="1" applyFont="1" applyFill="1" applyAlignment="1">
      <alignment horizontal="right" wrapText="1"/>
    </xf>
    <xf numFmtId="0" fontId="225" fillId="111" borderId="59" xfId="219" applyNumberFormat="1" applyFont="1" applyFill="1" applyAlignment="1">
      <alignment horizontal="right" wrapText="1"/>
    </xf>
    <xf numFmtId="0" fontId="225" fillId="111" borderId="59" xfId="219" applyNumberFormat="1" applyFont="1" applyFill="1" applyAlignment="1">
      <alignment horizontal="right" vertical="center" wrapText="1"/>
    </xf>
    <xf numFmtId="0" fontId="225" fillId="111" borderId="59" xfId="219" applyFont="1" applyFill="1" applyAlignment="1"/>
    <xf numFmtId="3" fontId="223" fillId="111" borderId="0" xfId="0" applyNumberFormat="1" applyFont="1" applyFill="1" applyAlignment="1">
      <alignment horizontal="right" wrapText="1"/>
    </xf>
    <xf numFmtId="3" fontId="226" fillId="111" borderId="0" xfId="7150" applyNumberFormat="1" applyFont="1" applyFill="1" applyAlignment="1">
      <alignment horizontal="right" wrapText="1"/>
    </xf>
    <xf numFmtId="0" fontId="226" fillId="111" borderId="0" xfId="7150" applyFont="1" applyFill="1" applyAlignment="1">
      <alignment wrapText="1"/>
    </xf>
    <xf numFmtId="0" fontId="223" fillId="111" borderId="0" xfId="0" applyFont="1" applyFill="1" applyBorder="1" applyAlignment="1"/>
    <xf numFmtId="0" fontId="223" fillId="0" borderId="0" xfId="0" applyFont="1" applyFill="1" applyBorder="1" applyAlignment="1"/>
    <xf numFmtId="2" fontId="223" fillId="111" borderId="0" xfId="0" applyNumberFormat="1" applyFont="1" applyFill="1" applyAlignment="1">
      <alignment horizontal="right" wrapText="1"/>
    </xf>
    <xf numFmtId="3" fontId="223" fillId="111" borderId="0" xfId="0" applyNumberFormat="1" applyFont="1" applyFill="1" applyAlignment="1">
      <alignment horizontal="right"/>
    </xf>
    <xf numFmtId="0" fontId="223" fillId="111" borderId="0" xfId="6" applyFont="1" applyFill="1" applyBorder="1" applyAlignment="1"/>
    <xf numFmtId="0" fontId="105" fillId="111" borderId="60" xfId="7147" applyFont="1" applyFill="1" applyAlignment="1"/>
    <xf numFmtId="1" fontId="225" fillId="111" borderId="59" xfId="219" applyNumberFormat="1" applyFont="1" applyFill="1" applyAlignment="1">
      <alignment horizontal="right" wrapText="1"/>
    </xf>
    <xf numFmtId="170" fontId="223" fillId="111" borderId="0" xfId="0" applyNumberFormat="1" applyFont="1" applyFill="1" applyAlignment="1">
      <alignment horizontal="right" wrapText="1"/>
    </xf>
    <xf numFmtId="0" fontId="223" fillId="3" borderId="0" xfId="0" applyFont="1" applyFill="1" applyAlignment="1"/>
    <xf numFmtId="171" fontId="223" fillId="111" borderId="0" xfId="0" applyNumberFormat="1" applyFont="1" applyFill="1" applyAlignment="1">
      <alignment horizontal="right" wrapText="1"/>
    </xf>
    <xf numFmtId="3" fontId="223" fillId="111" borderId="0" xfId="7" applyNumberFormat="1" applyFont="1" applyFill="1" applyBorder="1" applyAlignment="1">
      <alignment horizontal="right" wrapText="1"/>
    </xf>
    <xf numFmtId="0" fontId="223" fillId="111" borderId="0" xfId="7" applyFont="1" applyFill="1" applyBorder="1" applyAlignment="1">
      <alignment wrapText="1"/>
    </xf>
    <xf numFmtId="0" fontId="10" fillId="111" borderId="0" xfId="7" applyFont="1" applyFill="1" applyBorder="1" applyAlignment="1"/>
    <xf numFmtId="0" fontId="227" fillId="111" borderId="0" xfId="0" applyFont="1" applyFill="1" applyAlignment="1"/>
    <xf numFmtId="0" fontId="228" fillId="3" borderId="1" xfId="0" applyFont="1" applyFill="1" applyBorder="1" applyAlignment="1"/>
    <xf numFmtId="0" fontId="228" fillId="3" borderId="0" xfId="0" applyFont="1" applyFill="1" applyBorder="1" applyAlignment="1"/>
    <xf numFmtId="0" fontId="227" fillId="111" borderId="6" xfId="8" applyNumberFormat="1" applyFont="1" applyFill="1" applyAlignment="1">
      <alignment horizontal="left" vertical="top" wrapText="1"/>
    </xf>
    <xf numFmtId="0" fontId="227" fillId="111" borderId="0" xfId="0" applyFont="1" applyFill="1" applyBorder="1" applyAlignment="1">
      <alignment horizontal="left" vertical="top" wrapText="1"/>
    </xf>
    <xf numFmtId="0" fontId="223" fillId="111" borderId="0" xfId="0" quotePrefix="1" applyFont="1" applyFill="1" applyAlignment="1">
      <alignment horizontal="left" wrapText="1"/>
    </xf>
    <xf numFmtId="3" fontId="225" fillId="111" borderId="59" xfId="219" applyNumberFormat="1" applyFont="1" applyFill="1" applyAlignment="1">
      <alignment horizontal="right" wrapText="1"/>
    </xf>
    <xf numFmtId="0" fontId="225" fillId="111" borderId="59" xfId="219" applyNumberFormat="1" applyFont="1" applyFill="1" applyAlignment="1">
      <alignment wrapText="1"/>
    </xf>
    <xf numFmtId="0" fontId="223" fillId="111" borderId="59" xfId="219" applyNumberFormat="1" applyFont="1" applyFill="1" applyAlignment="1">
      <alignment horizontal="left" vertical="center" wrapText="1"/>
    </xf>
    <xf numFmtId="3" fontId="223" fillId="2" borderId="60" xfId="7" applyNumberFormat="1" applyFont="1" applyFill="1" applyBorder="1" applyAlignment="1">
      <alignment horizontal="right" wrapText="1"/>
    </xf>
    <xf numFmtId="0" fontId="223" fillId="111" borderId="60" xfId="7" applyFont="1" applyFill="1" applyBorder="1" applyAlignment="1">
      <alignment wrapText="1"/>
    </xf>
    <xf numFmtId="3" fontId="223" fillId="2" borderId="0" xfId="7" applyNumberFormat="1" applyFont="1" applyFill="1" applyBorder="1" applyAlignment="1">
      <alignment horizontal="right" wrapText="1"/>
    </xf>
    <xf numFmtId="1" fontId="225" fillId="112" borderId="59" xfId="219" applyNumberFormat="1" applyFont="1" applyFill="1" applyAlignment="1">
      <alignment horizontal="right" wrapText="1"/>
    </xf>
    <xf numFmtId="0" fontId="227" fillId="5" borderId="0" xfId="0" applyFont="1" applyFill="1" applyBorder="1" applyAlignment="1"/>
    <xf numFmtId="0" fontId="222" fillId="0" borderId="0" xfId="0" applyFont="1" applyAlignment="1"/>
    <xf numFmtId="0" fontId="223" fillId="111" borderId="0" xfId="0" applyFont="1" applyFill="1" applyAlignment="1">
      <alignment wrapText="1"/>
    </xf>
    <xf numFmtId="0" fontId="224" fillId="111" borderId="59" xfId="7146" applyFont="1" applyFill="1" applyAlignment="1">
      <alignment horizontal="left"/>
    </xf>
    <xf numFmtId="0" fontId="87" fillId="111" borderId="0" xfId="0" applyFont="1" applyFill="1" applyBorder="1" applyAlignment="1">
      <alignment wrapText="1"/>
    </xf>
    <xf numFmtId="0" fontId="223" fillId="111" borderId="0" xfId="0" applyFont="1" applyFill="1" applyBorder="1" applyAlignment="1">
      <alignment horizontal="right"/>
    </xf>
    <xf numFmtId="3" fontId="224" fillId="111" borderId="59" xfId="7146" applyNumberFormat="1" applyFont="1" applyFill="1" applyAlignment="1"/>
    <xf numFmtId="3" fontId="223" fillId="3" borderId="0" xfId="0" applyNumberFormat="1" applyFont="1" applyFill="1" applyAlignment="1"/>
    <xf numFmtId="3" fontId="223" fillId="111" borderId="0" xfId="0" applyNumberFormat="1" applyFont="1" applyFill="1" applyAlignment="1"/>
    <xf numFmtId="172" fontId="223" fillId="111" borderId="0" xfId="7" applyNumberFormat="1" applyFont="1" applyFill="1" applyBorder="1" applyAlignment="1">
      <alignment horizontal="right" wrapText="1"/>
    </xf>
    <xf numFmtId="0" fontId="222" fillId="0" borderId="0" xfId="0" applyFont="1" applyFill="1" applyAlignment="1"/>
    <xf numFmtId="0" fontId="223" fillId="3" borderId="0" xfId="0" applyFont="1" applyFill="1" applyAlignment="1">
      <alignment wrapText="1"/>
    </xf>
    <xf numFmtId="0" fontId="223" fillId="3" borderId="0" xfId="0" applyFont="1" applyFill="1" applyAlignment="1">
      <alignment horizontal="left" wrapText="1"/>
    </xf>
    <xf numFmtId="0" fontId="226" fillId="3" borderId="0" xfId="7150" applyFont="1" applyFill="1" applyAlignment="1">
      <alignment wrapText="1"/>
    </xf>
    <xf numFmtId="0" fontId="223" fillId="3" borderId="0" xfId="0" applyFont="1" applyFill="1" applyBorder="1" applyAlignment="1"/>
    <xf numFmtId="0" fontId="223" fillId="3" borderId="0" xfId="0" quotePrefix="1" applyFont="1" applyFill="1" applyAlignment="1">
      <alignment horizontal="left" wrapText="1"/>
    </xf>
    <xf numFmtId="0" fontId="225" fillId="3" borderId="0" xfId="0" applyFont="1" applyFill="1" applyBorder="1" applyAlignment="1"/>
    <xf numFmtId="0" fontId="10" fillId="3" borderId="0" xfId="7" applyFont="1" applyFill="1" applyBorder="1" applyAlignment="1"/>
    <xf numFmtId="0" fontId="223" fillId="3" borderId="0" xfId="0" applyFont="1" applyFill="1" applyBorder="1" applyAlignment="1">
      <alignment horizontal="left" wrapText="1"/>
    </xf>
    <xf numFmtId="0" fontId="223" fillId="3" borderId="0" xfId="0" applyNumberFormat="1" applyFont="1" applyFill="1" applyAlignment="1"/>
    <xf numFmtId="0" fontId="226" fillId="0" borderId="0" xfId="7150" applyFont="1" applyFill="1" applyAlignment="1">
      <alignment wrapText="1"/>
    </xf>
    <xf numFmtId="1" fontId="223" fillId="111" borderId="0" xfId="230" applyNumberFormat="1" applyFont="1" applyFill="1" applyAlignment="1">
      <alignment horizontal="right" wrapText="1"/>
    </xf>
    <xf numFmtId="0" fontId="0" fillId="3" borderId="0" xfId="0" applyFill="1" applyAlignment="1"/>
    <xf numFmtId="0" fontId="229" fillId="3" borderId="0" xfId="1" applyFont="1" applyFill="1" applyBorder="1" applyAlignment="1" applyProtection="1">
      <alignment horizontal="center" vertical="center" wrapText="1"/>
    </xf>
    <xf numFmtId="0" fontId="0" fillId="3" borderId="0" xfId="0" applyFont="1" applyFill="1" applyAlignment="1"/>
    <xf numFmtId="0" fontId="0" fillId="3" borderId="0" xfId="0" applyFill="1" applyAlignment="1">
      <alignment wrapText="1"/>
    </xf>
    <xf numFmtId="0" fontId="222" fillId="3" borderId="0" xfId="0" applyFont="1" applyFill="1" applyAlignment="1"/>
    <xf numFmtId="0" fontId="13" fillId="3" borderId="0" xfId="0" applyFont="1" applyFill="1" applyAlignment="1">
      <alignment horizontal="left"/>
    </xf>
    <xf numFmtId="0" fontId="8" fillId="3" borderId="0" xfId="0" applyFont="1" applyFill="1" applyAlignment="1"/>
    <xf numFmtId="0" fontId="154" fillId="3" borderId="0" xfId="0" applyFont="1" applyFill="1" applyAlignment="1"/>
    <xf numFmtId="0" fontId="10" fillId="3" borderId="0" xfId="6" applyFill="1" applyBorder="1" applyAlignment="1"/>
    <xf numFmtId="0" fontId="224" fillId="3" borderId="59" xfId="7146" applyFont="1" applyFill="1" applyAlignment="1"/>
    <xf numFmtId="0" fontId="105" fillId="3" borderId="60" xfId="7147" applyNumberFormat="1" applyFont="1" applyFill="1" applyAlignment="1">
      <alignment wrapText="1"/>
    </xf>
    <xf numFmtId="0" fontId="105" fillId="3" borderId="60" xfId="7147" applyFont="1" applyFill="1" applyAlignment="1"/>
    <xf numFmtId="0" fontId="225" fillId="3" borderId="59" xfId="219" applyFont="1" applyFill="1" applyAlignment="1"/>
    <xf numFmtId="1" fontId="225" fillId="3" borderId="59" xfId="219" applyNumberFormat="1" applyFont="1" applyFill="1" applyAlignment="1">
      <alignment horizontal="right" wrapText="1"/>
    </xf>
    <xf numFmtId="3" fontId="223" fillId="3" borderId="0" xfId="0" applyNumberFormat="1" applyFont="1" applyFill="1" applyAlignment="1">
      <alignment horizontal="right" wrapText="1"/>
    </xf>
    <xf numFmtId="0" fontId="225" fillId="3" borderId="59" xfId="219" applyFont="1" applyFill="1" applyAlignment="1">
      <alignment wrapText="1"/>
    </xf>
    <xf numFmtId="3" fontId="225" fillId="3" borderId="59" xfId="219" applyNumberFormat="1" applyFont="1" applyFill="1" applyAlignment="1">
      <alignment horizontal="right" wrapText="1"/>
    </xf>
    <xf numFmtId="0" fontId="225" fillId="3" borderId="59" xfId="219" applyNumberFormat="1" applyFont="1" applyFill="1" applyAlignment="1">
      <alignment wrapText="1"/>
    </xf>
    <xf numFmtId="0" fontId="225" fillId="3" borderId="59" xfId="219" applyNumberFormat="1" applyFont="1" applyFill="1" applyAlignment="1">
      <alignment horizontal="right" wrapText="1"/>
    </xf>
    <xf numFmtId="0" fontId="223" fillId="3" borderId="0" xfId="0" applyFont="1" applyFill="1" applyAlignment="1">
      <alignment horizontal="left"/>
    </xf>
    <xf numFmtId="0" fontId="224" fillId="3" borderId="59" xfId="7146" applyFont="1" applyFill="1" applyAlignment="1">
      <alignment horizontal="right"/>
    </xf>
    <xf numFmtId="0" fontId="105" fillId="3" borderId="60" xfId="7147" applyNumberFormat="1" applyFont="1" applyFill="1" applyAlignment="1">
      <alignment horizontal="right" wrapText="1"/>
    </xf>
    <xf numFmtId="0" fontId="225" fillId="3" borderId="59" xfId="219" applyNumberFormat="1" applyFont="1" applyFill="1" applyAlignment="1"/>
    <xf numFmtId="0" fontId="225" fillId="3" borderId="59" xfId="219" applyNumberFormat="1" applyFont="1" applyFill="1" applyAlignment="1">
      <alignment horizontal="right"/>
    </xf>
    <xf numFmtId="0" fontId="223" fillId="3" borderId="0" xfId="0" applyFont="1" applyFill="1" applyAlignment="1">
      <alignment horizontal="left"/>
    </xf>
    <xf numFmtId="0" fontId="223" fillId="111" borderId="0" xfId="0" applyFont="1" applyFill="1" applyAlignment="1">
      <alignment wrapText="1"/>
    </xf>
    <xf numFmtId="0" fontId="223" fillId="111" borderId="0" xfId="0" applyFont="1" applyFill="1" applyAlignment="1">
      <alignment horizontal="left" wrapText="1"/>
    </xf>
    <xf numFmtId="0" fontId="224" fillId="111" borderId="59" xfId="7146" applyFont="1" applyFill="1" applyAlignment="1"/>
    <xf numFmtId="0" fontId="105" fillId="111" borderId="60" xfId="7147" applyNumberFormat="1" applyFont="1" applyFill="1" applyAlignment="1">
      <alignment vertical="center"/>
    </xf>
    <xf numFmtId="0" fontId="223" fillId="3" borderId="0" xfId="0" applyFont="1" applyFill="1" applyBorder="1" applyAlignment="1">
      <alignment wrapText="1"/>
    </xf>
    <xf numFmtId="0" fontId="234" fillId="3" borderId="0" xfId="1" applyFont="1" applyFill="1" applyBorder="1" applyAlignment="1" applyProtection="1">
      <alignment horizontal="left" vertical="center" wrapText="1"/>
    </xf>
    <xf numFmtId="0" fontId="223" fillId="0" borderId="0" xfId="0" applyFont="1" applyFill="1" applyAlignment="1"/>
    <xf numFmtId="0" fontId="225" fillId="113" borderId="59" xfId="219" applyNumberFormat="1" applyFont="1" applyFill="1" applyAlignment="1">
      <alignment horizontal="right" wrapText="1"/>
    </xf>
    <xf numFmtId="3" fontId="223" fillId="113" borderId="0" xfId="0" applyNumberFormat="1" applyFont="1" applyFill="1" applyAlignment="1">
      <alignment horizontal="right" wrapText="1"/>
    </xf>
    <xf numFmtId="3" fontId="226" fillId="113" borderId="0" xfId="7150" applyNumberFormat="1" applyFont="1" applyFill="1" applyAlignment="1">
      <alignment horizontal="right" wrapText="1"/>
    </xf>
    <xf numFmtId="4" fontId="223" fillId="113" borderId="0" xfId="0" applyNumberFormat="1" applyFont="1" applyFill="1" applyAlignment="1">
      <alignment horizontal="right" wrapText="1"/>
    </xf>
    <xf numFmtId="0" fontId="223" fillId="113" borderId="0" xfId="0" applyFont="1" applyFill="1" applyBorder="1" applyAlignment="1"/>
    <xf numFmtId="2" fontId="223" fillId="113" borderId="0" xfId="0" applyNumberFormat="1" applyFont="1" applyFill="1" applyAlignment="1">
      <alignment horizontal="right" wrapText="1"/>
    </xf>
    <xf numFmtId="1" fontId="223" fillId="113" borderId="0" xfId="230" applyNumberFormat="1" applyFont="1" applyFill="1" applyAlignment="1">
      <alignment horizontal="right" wrapText="1"/>
    </xf>
    <xf numFmtId="3" fontId="223" fillId="113" borderId="0" xfId="0" applyNumberFormat="1" applyFont="1" applyFill="1" applyAlignment="1">
      <alignment horizontal="right"/>
    </xf>
    <xf numFmtId="0" fontId="235" fillId="111" borderId="0" xfId="0" applyFont="1" applyFill="1" applyAlignment="1">
      <alignment horizontal="left" wrapText="1" indent="1"/>
    </xf>
    <xf numFmtId="3" fontId="235" fillId="111" borderId="0" xfId="0" applyNumberFormat="1" applyFont="1" applyFill="1" applyAlignment="1">
      <alignment horizontal="right" wrapText="1"/>
    </xf>
    <xf numFmtId="0" fontId="223" fillId="3" borderId="0" xfId="0" applyFont="1" applyFill="1" applyAlignment="1">
      <alignment horizontal="right"/>
    </xf>
    <xf numFmtId="20" fontId="224" fillId="3" borderId="59" xfId="7146" applyNumberFormat="1" applyFont="1" applyFill="1" applyAlignment="1"/>
    <xf numFmtId="0" fontId="105" fillId="3" borderId="60" xfId="7147" applyNumberFormat="1" applyFont="1" applyFill="1" applyAlignment="1">
      <alignment vertical="center"/>
    </xf>
    <xf numFmtId="0" fontId="105" fillId="3" borderId="60" xfId="7147" applyFont="1" applyFill="1" applyAlignment="1">
      <alignment horizontal="right"/>
    </xf>
    <xf numFmtId="0" fontId="225" fillId="3" borderId="59" xfId="219" applyNumberFormat="1" applyFont="1" applyFill="1" applyAlignment="1">
      <alignment vertical="center" wrapText="1"/>
    </xf>
    <xf numFmtId="0" fontId="225" fillId="3" borderId="59" xfId="219" applyFont="1" applyFill="1" applyAlignment="1">
      <alignment horizontal="right"/>
    </xf>
    <xf numFmtId="3" fontId="223" fillId="3" borderId="0" xfId="0" applyNumberFormat="1" applyFont="1" applyFill="1" applyAlignment="1">
      <alignment horizontal="right"/>
    </xf>
    <xf numFmtId="3" fontId="224" fillId="3" borderId="59" xfId="7146" applyNumberFormat="1" applyFont="1" applyFill="1" applyAlignment="1">
      <alignment horizontal="right"/>
    </xf>
    <xf numFmtId="3" fontId="105" fillId="3" borderId="60" xfId="7147" applyNumberFormat="1" applyFont="1" applyFill="1" applyAlignment="1">
      <alignment horizontal="right"/>
    </xf>
    <xf numFmtId="3" fontId="225" fillId="3" borderId="59" xfId="219" applyNumberFormat="1" applyFont="1" applyFill="1" applyAlignment="1">
      <alignment horizontal="right"/>
    </xf>
    <xf numFmtId="3" fontId="223" fillId="3" borderId="0" xfId="7153" applyNumberFormat="1" applyFont="1" applyFill="1" applyAlignment="1">
      <alignment horizontal="right"/>
    </xf>
    <xf numFmtId="4" fontId="223" fillId="3" borderId="0" xfId="0" applyNumberFormat="1" applyFont="1" applyFill="1" applyAlignment="1">
      <alignment horizontal="right"/>
    </xf>
    <xf numFmtId="1" fontId="224" fillId="3" borderId="59" xfId="7146" applyNumberFormat="1" applyFont="1" applyFill="1" applyAlignment="1">
      <alignment horizontal="right"/>
    </xf>
    <xf numFmtId="1" fontId="105" fillId="3" borderId="60" xfId="7147" applyNumberFormat="1" applyFont="1" applyFill="1" applyAlignment="1">
      <alignment horizontal="right"/>
    </xf>
    <xf numFmtId="1" fontId="225" fillId="3" borderId="59" xfId="219" applyNumberFormat="1" applyFont="1" applyFill="1" applyAlignment="1">
      <alignment horizontal="right"/>
    </xf>
    <xf numFmtId="1" fontId="223" fillId="3" borderId="0" xfId="0" applyNumberFormat="1" applyFont="1" applyFill="1" applyAlignment="1">
      <alignment horizontal="right"/>
    </xf>
    <xf numFmtId="2" fontId="223" fillId="3" borderId="0" xfId="0" applyNumberFormat="1" applyFont="1" applyFill="1" applyAlignment="1">
      <alignment horizontal="right"/>
    </xf>
    <xf numFmtId="0" fontId="235" fillId="3" borderId="0" xfId="0" applyFont="1" applyFill="1" applyAlignment="1">
      <alignment horizontal="left" wrapText="1" indent="1"/>
    </xf>
    <xf numFmtId="4" fontId="235" fillId="3" borderId="0" xfId="0" applyNumberFormat="1" applyFont="1" applyFill="1" applyAlignment="1">
      <alignment horizontal="right"/>
    </xf>
    <xf numFmtId="0" fontId="224" fillId="3" borderId="59" xfId="7146" applyFont="1" applyFill="1" applyAlignment="1">
      <alignment horizontal="left"/>
    </xf>
    <xf numFmtId="4" fontId="223" fillId="111" borderId="0" xfId="0" applyNumberFormat="1" applyFont="1" applyFill="1" applyAlignment="1">
      <alignment horizontal="right" vertical="top" wrapText="1"/>
    </xf>
    <xf numFmtId="3" fontId="226" fillId="3" borderId="0" xfId="7150" applyNumberFormat="1" applyFont="1" applyFill="1" applyAlignment="1">
      <alignment horizontal="right" wrapText="1"/>
    </xf>
    <xf numFmtId="3" fontId="235" fillId="3" borderId="0" xfId="0" applyNumberFormat="1" applyFont="1" applyFill="1" applyAlignment="1">
      <alignment horizontal="right" wrapText="1"/>
    </xf>
    <xf numFmtId="4" fontId="223" fillId="3" borderId="0" xfId="0" applyNumberFormat="1" applyFont="1" applyFill="1" applyAlignment="1">
      <alignment horizontal="right" wrapText="1"/>
    </xf>
    <xf numFmtId="0" fontId="223" fillId="111" borderId="60" xfId="7147" applyNumberFormat="1" applyFont="1" applyFill="1" applyAlignment="1">
      <alignment vertical="center" wrapText="1"/>
    </xf>
    <xf numFmtId="0" fontId="223" fillId="0" borderId="60" xfId="7147" applyNumberFormat="1" applyFont="1" applyFill="1" applyAlignment="1">
      <alignment vertical="center" wrapText="1"/>
    </xf>
    <xf numFmtId="0" fontId="225" fillId="0" borderId="0" xfId="0" applyFont="1" applyFill="1" applyBorder="1" applyAlignment="1">
      <alignment wrapText="1"/>
    </xf>
    <xf numFmtId="3" fontId="225" fillId="111" borderId="0" xfId="0" applyNumberFormat="1" applyFont="1" applyFill="1" applyAlignment="1">
      <alignment horizontal="right" wrapText="1"/>
    </xf>
    <xf numFmtId="0" fontId="225" fillId="3" borderId="0" xfId="0" applyFont="1" applyFill="1" applyAlignment="1"/>
    <xf numFmtId="0" fontId="225" fillId="0" borderId="0" xfId="0" applyFont="1" applyAlignment="1"/>
    <xf numFmtId="170" fontId="223" fillId="113" borderId="0" xfId="0" applyNumberFormat="1" applyFont="1" applyFill="1" applyAlignment="1">
      <alignment horizontal="right" wrapText="1"/>
    </xf>
    <xf numFmtId="3" fontId="235" fillId="113" borderId="0" xfId="0" applyNumberFormat="1" applyFont="1" applyFill="1" applyAlignment="1">
      <alignment horizontal="right" wrapText="1"/>
    </xf>
    <xf numFmtId="0" fontId="223" fillId="111" borderId="60" xfId="7147" applyFont="1" applyFill="1" applyAlignment="1"/>
    <xf numFmtId="0" fontId="223" fillId="111" borderId="60" xfId="7147" applyNumberFormat="1" applyFont="1" applyFill="1" applyAlignment="1"/>
    <xf numFmtId="0" fontId="225" fillId="111" borderId="0" xfId="2" applyNumberFormat="1" applyFont="1" applyFill="1" applyBorder="1" applyAlignment="1">
      <alignment wrapText="1"/>
    </xf>
    <xf numFmtId="0" fontId="225" fillId="111" borderId="0" xfId="2" applyNumberFormat="1" applyFont="1" applyFill="1" applyBorder="1" applyAlignment="1">
      <alignment horizontal="right" wrapText="1"/>
    </xf>
    <xf numFmtId="0" fontId="225" fillId="113" borderId="0" xfId="2" applyNumberFormat="1" applyFont="1" applyFill="1" applyBorder="1" applyAlignment="1">
      <alignment horizontal="right" wrapText="1"/>
    </xf>
    <xf numFmtId="0" fontId="223" fillId="111" borderId="0" xfId="7" applyFont="1" applyFill="1" applyBorder="1" applyAlignment="1">
      <alignment horizontal="right" wrapText="1"/>
    </xf>
    <xf numFmtId="0" fontId="223" fillId="0" borderId="60" xfId="7147" applyNumberFormat="1" applyFont="1" applyFill="1" applyAlignment="1"/>
    <xf numFmtId="0" fontId="223" fillId="111" borderId="0" xfId="6" applyFont="1" applyFill="1" applyBorder="1" applyAlignment="1">
      <alignment wrapText="1"/>
    </xf>
    <xf numFmtId="0" fontId="223" fillId="111" borderId="0" xfId="6" applyFont="1" applyFill="1" applyBorder="1" applyAlignment="1">
      <alignment horizontal="right" wrapText="1"/>
    </xf>
    <xf numFmtId="1" fontId="225" fillId="111" borderId="0" xfId="2" applyNumberFormat="1" applyFont="1" applyFill="1" applyBorder="1" applyAlignment="1">
      <alignment horizontal="right" wrapText="1"/>
    </xf>
    <xf numFmtId="0" fontId="223" fillId="111" borderId="0" xfId="6" applyFont="1" applyFill="1" applyBorder="1" applyAlignment="1">
      <alignment horizontal="left" wrapText="1"/>
    </xf>
    <xf numFmtId="3" fontId="223" fillId="113" borderId="0" xfId="7" applyNumberFormat="1" applyFont="1" applyFill="1" applyBorder="1" applyAlignment="1">
      <alignment horizontal="right" wrapText="1"/>
    </xf>
    <xf numFmtId="0" fontId="223" fillId="113" borderId="0" xfId="6" applyFont="1" applyFill="1" applyBorder="1" applyAlignment="1">
      <alignment horizontal="right" wrapText="1"/>
    </xf>
    <xf numFmtId="172" fontId="223" fillId="113" borderId="0" xfId="7" applyNumberFormat="1" applyFont="1" applyFill="1" applyBorder="1" applyAlignment="1">
      <alignment horizontal="right" wrapText="1"/>
    </xf>
    <xf numFmtId="3" fontId="235" fillId="3" borderId="0" xfId="0" applyNumberFormat="1" applyFont="1" applyFill="1" applyAlignment="1">
      <alignment horizontal="right"/>
    </xf>
    <xf numFmtId="3" fontId="235" fillId="3" borderId="0" xfId="7153" applyNumberFormat="1" applyFont="1" applyFill="1" applyAlignment="1">
      <alignment horizontal="right"/>
    </xf>
    <xf numFmtId="0" fontId="235" fillId="3" borderId="0" xfId="0" applyFont="1" applyFill="1" applyAlignment="1">
      <alignment horizontal="left" indent="1"/>
    </xf>
    <xf numFmtId="4" fontId="235" fillId="3" borderId="0" xfId="0" applyNumberFormat="1" applyFont="1" applyFill="1" applyAlignment="1">
      <alignment horizontal="right" vertical="top"/>
    </xf>
    <xf numFmtId="0" fontId="225" fillId="113" borderId="59" xfId="219" applyFont="1" applyFill="1" applyAlignment="1">
      <alignment horizontal="right"/>
    </xf>
    <xf numFmtId="3" fontId="235" fillId="113" borderId="0" xfId="0" applyNumberFormat="1" applyFont="1" applyFill="1" applyAlignment="1">
      <alignment horizontal="right"/>
    </xf>
    <xf numFmtId="3" fontId="225" fillId="113" borderId="59" xfId="219" applyNumberFormat="1" applyFont="1" applyFill="1" applyAlignment="1">
      <alignment horizontal="right"/>
    </xf>
    <xf numFmtId="3" fontId="223" fillId="113" borderId="0" xfId="7153" applyNumberFormat="1" applyFont="1" applyFill="1" applyAlignment="1">
      <alignment horizontal="right"/>
    </xf>
    <xf numFmtId="3" fontId="235" fillId="113" borderId="0" xfId="7153" applyNumberFormat="1" applyFont="1" applyFill="1" applyAlignment="1">
      <alignment horizontal="right"/>
    </xf>
    <xf numFmtId="0" fontId="223" fillId="113" borderId="0" xfId="0" applyFont="1" applyFill="1" applyAlignment="1">
      <alignment horizontal="left" wrapText="1"/>
    </xf>
    <xf numFmtId="4" fontId="223" fillId="113" borderId="0" xfId="0" applyNumberFormat="1" applyFont="1" applyFill="1" applyAlignment="1">
      <alignment horizontal="right"/>
    </xf>
    <xf numFmtId="4" fontId="235" fillId="113" borderId="0" xfId="0" applyNumberFormat="1" applyFont="1" applyFill="1" applyAlignment="1">
      <alignment horizontal="right"/>
    </xf>
    <xf numFmtId="4" fontId="235" fillId="113" borderId="0" xfId="0" applyNumberFormat="1" applyFont="1" applyFill="1" applyAlignment="1">
      <alignment horizontal="right" vertical="top"/>
    </xf>
    <xf numFmtId="1" fontId="225" fillId="113" borderId="59" xfId="219" applyNumberFormat="1" applyFont="1" applyFill="1" applyAlignment="1">
      <alignment horizontal="right"/>
    </xf>
    <xf numFmtId="1" fontId="223" fillId="113" borderId="0" xfId="0" applyNumberFormat="1" applyFont="1" applyFill="1" applyAlignment="1">
      <alignment horizontal="right"/>
    </xf>
    <xf numFmtId="2" fontId="223" fillId="113" borderId="0" xfId="0" applyNumberFormat="1" applyFont="1" applyFill="1" applyAlignment="1">
      <alignment horizontal="right"/>
    </xf>
    <xf numFmtId="0" fontId="224" fillId="3" borderId="59" xfId="7145" applyNumberFormat="1" applyFont="1" applyFill="1" applyAlignment="1">
      <alignment horizontal="right" wrapText="1"/>
    </xf>
    <xf numFmtId="0" fontId="225" fillId="3" borderId="59" xfId="219" applyNumberFormat="1" applyFont="1" applyFill="1" applyAlignment="1">
      <alignment horizontal="right" vertical="center" wrapText="1"/>
    </xf>
    <xf numFmtId="3" fontId="226" fillId="3" borderId="0" xfId="7153" applyNumberFormat="1" applyFont="1" applyFill="1" applyAlignment="1">
      <alignment horizontal="right"/>
    </xf>
    <xf numFmtId="0" fontId="225" fillId="3" borderId="59" xfId="219" applyFont="1" applyFill="1" applyBorder="1" applyAlignment="1">
      <alignment wrapText="1"/>
    </xf>
    <xf numFmtId="3" fontId="225" fillId="3" borderId="59" xfId="7153" applyNumberFormat="1" applyFont="1" applyFill="1" applyBorder="1" applyAlignment="1">
      <alignment horizontal="right"/>
    </xf>
    <xf numFmtId="0" fontId="224" fillId="3" borderId="59" xfId="7145" applyFont="1" applyFill="1" applyAlignment="1">
      <alignment horizontal="right"/>
    </xf>
    <xf numFmtId="3" fontId="224" fillId="3" borderId="59" xfId="7145" applyNumberFormat="1" applyFont="1" applyFill="1" applyAlignment="1">
      <alignment horizontal="right"/>
    </xf>
    <xf numFmtId="0" fontId="105" fillId="3" borderId="60" xfId="7147" applyNumberFormat="1" applyFont="1" applyFill="1" applyAlignment="1">
      <alignment horizontal="left" wrapText="1"/>
    </xf>
    <xf numFmtId="0" fontId="225" fillId="3" borderId="59" xfId="219" applyNumberFormat="1" applyFont="1" applyFill="1" applyAlignment="1">
      <alignment horizontal="left" wrapText="1"/>
    </xf>
    <xf numFmtId="1" fontId="225" fillId="113" borderId="59" xfId="219" applyNumberFormat="1" applyFont="1" applyFill="1" applyAlignment="1">
      <alignment horizontal="right" wrapText="1"/>
    </xf>
    <xf numFmtId="0" fontId="223" fillId="3" borderId="0" xfId="0" applyFont="1" applyFill="1" applyAlignment="1">
      <alignment horizontal="left" vertical="center"/>
    </xf>
    <xf numFmtId="9" fontId="223" fillId="3" borderId="0" xfId="0" applyNumberFormat="1" applyFont="1" applyFill="1" applyAlignment="1">
      <alignment horizontal="right" vertical="center"/>
    </xf>
    <xf numFmtId="9" fontId="223" fillId="113" borderId="0" xfId="0" applyNumberFormat="1" applyFont="1" applyFill="1" applyAlignment="1">
      <alignment horizontal="right" vertical="center"/>
    </xf>
    <xf numFmtId="3" fontId="225" fillId="113" borderId="59" xfId="219" applyNumberFormat="1" applyFont="1" applyFill="1" applyAlignment="1">
      <alignment horizontal="right" wrapText="1"/>
    </xf>
    <xf numFmtId="0" fontId="225" fillId="113" borderId="59" xfId="219" applyNumberFormat="1" applyFont="1" applyFill="1" applyAlignment="1">
      <alignment horizontal="right"/>
    </xf>
    <xf numFmtId="3" fontId="223" fillId="3" borderId="0" xfId="0" applyNumberFormat="1" applyFont="1" applyFill="1" applyAlignment="1">
      <alignment horizontal="right" vertical="top" wrapText="1"/>
    </xf>
    <xf numFmtId="3" fontId="223" fillId="113" borderId="0" xfId="0" applyNumberFormat="1" applyFont="1" applyFill="1" applyAlignment="1">
      <alignment horizontal="right" vertical="top" wrapText="1"/>
    </xf>
    <xf numFmtId="3" fontId="225" fillId="3" borderId="59" xfId="219" applyNumberFormat="1" applyFont="1" applyFill="1" applyAlignment="1">
      <alignment horizontal="right" vertical="top" wrapText="1"/>
    </xf>
    <xf numFmtId="3" fontId="225" fillId="113" borderId="59" xfId="219" applyNumberFormat="1" applyFont="1" applyFill="1" applyAlignment="1">
      <alignment horizontal="right" vertical="top" wrapText="1"/>
    </xf>
    <xf numFmtId="3" fontId="235" fillId="3" borderId="0" xfId="0" applyNumberFormat="1" applyFont="1" applyFill="1" applyAlignment="1">
      <alignment horizontal="right" vertical="top" wrapText="1"/>
    </xf>
    <xf numFmtId="3" fontId="235" fillId="113" borderId="0" xfId="0" applyNumberFormat="1" applyFont="1" applyFill="1" applyAlignment="1">
      <alignment horizontal="right" vertical="top" wrapText="1"/>
    </xf>
    <xf numFmtId="1" fontId="223" fillId="113" borderId="0" xfId="7" applyNumberFormat="1" applyFont="1" applyFill="1" applyBorder="1" applyAlignment="1">
      <alignment horizontal="right" wrapText="1"/>
    </xf>
    <xf numFmtId="3" fontId="223" fillId="113" borderId="60" xfId="7" applyNumberFormat="1" applyFont="1" applyFill="1" applyBorder="1" applyAlignment="1">
      <alignment horizontal="right" wrapText="1"/>
    </xf>
    <xf numFmtId="0" fontId="235" fillId="111" borderId="0" xfId="7" applyFont="1" applyFill="1" applyBorder="1" applyAlignment="1">
      <alignment horizontal="left" wrapText="1" indent="1"/>
    </xf>
    <xf numFmtId="3" fontId="235" fillId="2" borderId="0" xfId="7" applyNumberFormat="1" applyFont="1" applyFill="1" applyBorder="1" applyAlignment="1">
      <alignment horizontal="right" wrapText="1"/>
    </xf>
    <xf numFmtId="3" fontId="235" fillId="113" borderId="0" xfId="7" applyNumberFormat="1" applyFont="1" applyFill="1" applyBorder="1" applyAlignment="1">
      <alignment horizontal="right" wrapText="1"/>
    </xf>
    <xf numFmtId="3" fontId="235" fillId="111" borderId="0" xfId="7" applyNumberFormat="1" applyFont="1" applyFill="1" applyBorder="1" applyAlignment="1">
      <alignment horizontal="right" wrapText="1"/>
    </xf>
    <xf numFmtId="1" fontId="235" fillId="113" borderId="0" xfId="7" applyNumberFormat="1" applyFont="1" applyFill="1" applyBorder="1" applyAlignment="1">
      <alignment horizontal="right" wrapText="1"/>
    </xf>
    <xf numFmtId="171" fontId="223" fillId="113" borderId="0" xfId="0" applyNumberFormat="1" applyFont="1" applyFill="1" applyAlignment="1">
      <alignment horizontal="right" wrapText="1"/>
    </xf>
    <xf numFmtId="4" fontId="223" fillId="113" borderId="0" xfId="0" applyNumberFormat="1" applyFont="1" applyFill="1" applyAlignment="1">
      <alignment horizontal="right" vertical="top" wrapText="1"/>
    </xf>
    <xf numFmtId="3" fontId="225" fillId="113" borderId="0" xfId="0" applyNumberFormat="1" applyFont="1" applyFill="1" applyAlignment="1">
      <alignment horizontal="right" wrapText="1"/>
    </xf>
    <xf numFmtId="3" fontId="235" fillId="111" borderId="0" xfId="0" applyNumberFormat="1" applyFont="1" applyFill="1" applyAlignment="1">
      <alignment horizontal="right" vertical="top" wrapText="1"/>
    </xf>
    <xf numFmtId="0" fontId="223" fillId="3" borderId="0" xfId="0" applyFont="1" applyFill="1"/>
    <xf numFmtId="0" fontId="226" fillId="3" borderId="0" xfId="7150" applyFont="1" applyFill="1"/>
    <xf numFmtId="0" fontId="223" fillId="3" borderId="0" xfId="0" applyFont="1" applyFill="1" applyAlignment="1">
      <alignment horizontal="right" wrapText="1"/>
    </xf>
    <xf numFmtId="0" fontId="239" fillId="3" borderId="0" xfId="7150" applyFont="1" applyFill="1" applyAlignment="1">
      <alignment horizontal="left" wrapText="1" indent="1"/>
    </xf>
    <xf numFmtId="3" fontId="239" fillId="113" borderId="0" xfId="7150" applyNumberFormat="1" applyFont="1" applyFill="1" applyAlignment="1">
      <alignment horizontal="right" wrapText="1"/>
    </xf>
    <xf numFmtId="3" fontId="239" fillId="3" borderId="0" xfId="7150" applyNumberFormat="1" applyFont="1" applyFill="1" applyAlignment="1">
      <alignment horizontal="right" wrapText="1"/>
    </xf>
    <xf numFmtId="0" fontId="226" fillId="3" borderId="0" xfId="7150" applyFont="1" applyFill="1" applyAlignment="1">
      <alignment horizontal="left" wrapText="1"/>
    </xf>
    <xf numFmtId="0" fontId="226" fillId="3" borderId="0" xfId="7150" applyFont="1" applyFill="1" applyAlignment="1">
      <alignment horizontal="right" wrapText="1"/>
    </xf>
    <xf numFmtId="4" fontId="226" fillId="113" borderId="0" xfId="7150" applyNumberFormat="1" applyFont="1" applyFill="1" applyAlignment="1">
      <alignment horizontal="right" wrapText="1"/>
    </xf>
    <xf numFmtId="4" fontId="226" fillId="3" borderId="0" xfId="7150" applyNumberFormat="1" applyFont="1" applyFill="1" applyAlignment="1">
      <alignment horizontal="right" wrapText="1"/>
    </xf>
    <xf numFmtId="0" fontId="225" fillId="3" borderId="0" xfId="219" applyFont="1" applyFill="1" applyBorder="1" applyAlignment="1">
      <alignment horizontal="left" wrapText="1"/>
    </xf>
    <xf numFmtId="39" fontId="223" fillId="3" borderId="0" xfId="0" applyNumberFormat="1" applyFont="1" applyFill="1" applyAlignment="1" applyProtection="1">
      <alignment horizontal="right" vertical="center"/>
      <protection locked="0"/>
    </xf>
    <xf numFmtId="189" fontId="223" fillId="3" borderId="0" xfId="0" applyNumberFormat="1" applyFont="1" applyFill="1" applyAlignment="1"/>
    <xf numFmtId="1" fontId="223" fillId="3" borderId="0" xfId="0" applyNumberFormat="1" applyFont="1" applyFill="1" applyAlignment="1">
      <alignment horizontal="right" vertical="top"/>
    </xf>
    <xf numFmtId="0" fontId="223" fillId="3" borderId="0" xfId="0" applyFont="1" applyFill="1" applyAlignment="1">
      <alignment horizontal="right" vertical="top"/>
    </xf>
    <xf numFmtId="0" fontId="223" fillId="113" borderId="0" xfId="0" applyFont="1" applyFill="1" applyAlignment="1">
      <alignment horizontal="right" vertical="top"/>
    </xf>
    <xf numFmtId="1" fontId="223" fillId="113" borderId="0" xfId="0" applyNumberFormat="1" applyFont="1" applyFill="1" applyAlignment="1">
      <alignment horizontal="right" vertical="top"/>
    </xf>
    <xf numFmtId="1" fontId="235" fillId="3" borderId="0" xfId="0" applyNumberFormat="1" applyFont="1" applyFill="1" applyAlignment="1">
      <alignment horizontal="right" vertical="top"/>
    </xf>
    <xf numFmtId="0" fontId="235" fillId="3" borderId="0" xfId="0" applyFont="1" applyFill="1" applyAlignment="1">
      <alignment horizontal="right" vertical="top"/>
    </xf>
    <xf numFmtId="0" fontId="235" fillId="113" borderId="0" xfId="0" applyFont="1" applyFill="1" applyAlignment="1">
      <alignment horizontal="right" vertical="top"/>
    </xf>
    <xf numFmtId="1" fontId="235" fillId="113" borderId="0" xfId="0" applyNumberFormat="1" applyFont="1" applyFill="1" applyAlignment="1">
      <alignment horizontal="right" vertical="top"/>
    </xf>
    <xf numFmtId="172" fontId="223" fillId="3" borderId="0" xfId="0" applyNumberFormat="1" applyFont="1" applyFill="1" applyAlignment="1"/>
    <xf numFmtId="0" fontId="226" fillId="113" borderId="0" xfId="7150" applyFont="1" applyFill="1" applyAlignment="1">
      <alignment horizontal="right" wrapText="1"/>
    </xf>
    <xf numFmtId="0" fontId="223" fillId="113" borderId="0" xfId="0" applyFont="1" applyFill="1" applyAlignment="1"/>
    <xf numFmtId="191" fontId="223" fillId="113" borderId="0" xfId="7153" applyNumberFormat="1" applyFont="1" applyFill="1" applyAlignment="1">
      <alignment horizontal="right" wrapText="1"/>
    </xf>
    <xf numFmtId="191" fontId="223" fillId="3" borderId="0" xfId="7153" applyNumberFormat="1" applyFont="1" applyFill="1" applyAlignment="1"/>
    <xf numFmtId="191" fontId="223" fillId="113" borderId="0" xfId="7153" applyNumberFormat="1" applyFont="1" applyFill="1" applyAlignment="1"/>
    <xf numFmtId="191" fontId="226" fillId="113" borderId="0" xfId="7153" applyNumberFormat="1" applyFont="1" applyFill="1" applyAlignment="1">
      <alignment horizontal="right" wrapText="1"/>
    </xf>
    <xf numFmtId="191" fontId="225" fillId="3" borderId="0" xfId="7153" applyNumberFormat="1" applyFont="1" applyFill="1" applyAlignment="1"/>
    <xf numFmtId="191" fontId="225" fillId="113" borderId="0" xfId="7153" applyNumberFormat="1" applyFont="1" applyFill="1" applyAlignment="1"/>
    <xf numFmtId="191" fontId="225" fillId="113" borderId="59" xfId="7153" applyNumberFormat="1" applyFont="1" applyFill="1" applyBorder="1" applyAlignment="1">
      <alignment horizontal="right" wrapText="1"/>
    </xf>
    <xf numFmtId="191" fontId="225" fillId="3" borderId="59" xfId="7153" applyNumberFormat="1" applyFont="1" applyFill="1" applyBorder="1" applyAlignment="1"/>
    <xf numFmtId="191" fontId="225" fillId="113" borderId="59" xfId="7153" applyNumberFormat="1" applyFont="1" applyFill="1" applyBorder="1" applyAlignment="1"/>
    <xf numFmtId="172" fontId="223" fillId="3" borderId="0" xfId="0" applyNumberFormat="1" applyFont="1" applyFill="1" applyAlignment="1">
      <alignment horizontal="right" wrapText="1"/>
    </xf>
    <xf numFmtId="0" fontId="240" fillId="3" borderId="0" xfId="1" applyFont="1" applyFill="1" applyBorder="1" applyAlignment="1" applyProtection="1">
      <alignment vertical="center" wrapText="1"/>
    </xf>
    <xf numFmtId="0" fontId="54" fillId="3" borderId="0" xfId="1" applyFont="1" applyFill="1" applyBorder="1" applyAlignment="1" applyProtection="1">
      <alignment vertical="center"/>
    </xf>
    <xf numFmtId="4" fontId="225" fillId="3" borderId="0" xfId="219" applyNumberFormat="1" applyFont="1" applyFill="1" applyBorder="1" applyAlignment="1">
      <alignment horizontal="right" wrapText="1"/>
    </xf>
    <xf numFmtId="4" fontId="225" fillId="113" borderId="0" xfId="219" applyNumberFormat="1" applyFont="1" applyFill="1" applyBorder="1" applyAlignment="1">
      <alignment horizontal="right" wrapText="1"/>
    </xf>
    <xf numFmtId="3" fontId="226" fillId="3" borderId="0" xfId="7150" applyNumberFormat="1" applyFont="1" applyFill="1" applyAlignment="1">
      <alignment horizontal="right"/>
    </xf>
    <xf numFmtId="4" fontId="223" fillId="114" borderId="0" xfId="0" applyNumberFormat="1" applyFont="1" applyFill="1" applyAlignment="1">
      <alignment horizontal="right" vertical="top" wrapText="1"/>
    </xf>
    <xf numFmtId="0" fontId="224" fillId="111" borderId="59" xfId="7146" applyFont="1" applyFill="1" applyAlignment="1"/>
    <xf numFmtId="0" fontId="229" fillId="3" borderId="0" xfId="1" applyFont="1" applyFill="1" applyBorder="1" applyAlignment="1" applyProtection="1">
      <alignment horizontal="left" vertical="center" wrapText="1"/>
    </xf>
    <xf numFmtId="0" fontId="229" fillId="3" borderId="0" xfId="1" applyFont="1" applyFill="1" applyBorder="1" applyAlignment="1" applyProtection="1">
      <alignment horizontal="left" vertical="top" wrapText="1"/>
    </xf>
    <xf numFmtId="0" fontId="0" fillId="3" borderId="0" xfId="0" applyFill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223" fillId="111" borderId="0" xfId="0" applyFont="1" applyFill="1" applyAlignment="1">
      <alignment horizontal="left" vertical="center"/>
    </xf>
    <xf numFmtId="0" fontId="223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23" fillId="111" borderId="0" xfId="0" applyFont="1" applyFill="1" applyBorder="1" applyAlignment="1">
      <alignment horizontal="left" vertical="center"/>
    </xf>
    <xf numFmtId="0" fontId="235" fillId="111" borderId="0" xfId="0" applyFont="1" applyFill="1" applyAlignment="1">
      <alignment horizontal="left" wrapText="1" indent="6"/>
    </xf>
    <xf numFmtId="3" fontId="223" fillId="3" borderId="0" xfId="0" applyNumberFormat="1" applyFont="1" applyFill="1" applyAlignment="1">
      <alignment horizontal="right" vertical="top"/>
    </xf>
    <xf numFmtId="3" fontId="223" fillId="113" borderId="0" xfId="0" applyNumberFormat="1" applyFont="1" applyFill="1" applyAlignment="1">
      <alignment horizontal="right" vertical="top"/>
    </xf>
    <xf numFmtId="0" fontId="219" fillId="3" borderId="0" xfId="7146" applyFont="1" applyFill="1" applyBorder="1" applyAlignment="1"/>
    <xf numFmtId="0" fontId="224" fillId="3" borderId="0" xfId="7146" applyFont="1" applyFill="1" applyBorder="1" applyAlignment="1"/>
    <xf numFmtId="3" fontId="225" fillId="3" borderId="0" xfId="0" applyNumberFormat="1" applyFont="1" applyFill="1" applyAlignment="1">
      <alignment horizontal="right" wrapText="1"/>
    </xf>
    <xf numFmtId="3" fontId="241" fillId="3" borderId="0" xfId="7150" applyNumberFormat="1" applyFont="1" applyFill="1" applyAlignment="1">
      <alignment horizontal="right" wrapText="1"/>
    </xf>
    <xf numFmtId="0" fontId="226" fillId="3" borderId="0" xfId="7150" applyFont="1" applyFill="1" applyAlignment="1">
      <alignment horizontal="left"/>
    </xf>
    <xf numFmtId="0" fontId="225" fillId="3" borderId="59" xfId="219" applyFont="1" applyFill="1" applyAlignment="1">
      <alignment vertical="center" wrapText="1"/>
    </xf>
    <xf numFmtId="0" fontId="225" fillId="3" borderId="59" xfId="219" applyNumberFormat="1" applyFont="1" applyFill="1" applyAlignment="1">
      <alignment horizontal="center" vertical="top" wrapText="1"/>
    </xf>
    <xf numFmtId="0" fontId="225" fillId="113" borderId="59" xfId="219" applyNumberFormat="1" applyFont="1" applyFill="1" applyAlignment="1">
      <alignment horizontal="center" vertical="top" wrapText="1"/>
    </xf>
    <xf numFmtId="0" fontId="225" fillId="3" borderId="0" xfId="0" applyFont="1" applyFill="1" applyAlignment="1">
      <alignment wrapText="1"/>
    </xf>
    <xf numFmtId="3" fontId="225" fillId="3" borderId="0" xfId="7153" applyNumberFormat="1" applyFont="1" applyFill="1" applyAlignment="1">
      <alignment horizontal="right" vertical="top"/>
    </xf>
    <xf numFmtId="3" fontId="225" fillId="113" borderId="0" xfId="7153" applyNumberFormat="1" applyFont="1" applyFill="1" applyAlignment="1">
      <alignment horizontal="right" vertical="top"/>
    </xf>
    <xf numFmtId="0" fontId="235" fillId="3" borderId="0" xfId="0" applyFont="1" applyFill="1" applyAlignment="1">
      <alignment horizontal="left" vertical="center" wrapText="1" indent="1"/>
    </xf>
    <xf numFmtId="3" fontId="235" fillId="3" borderId="0" xfId="7153" applyNumberFormat="1" applyFont="1" applyFill="1" applyAlignment="1">
      <alignment horizontal="right" vertical="top"/>
    </xf>
    <xf numFmtId="3" fontId="235" fillId="113" borderId="0" xfId="7153" applyNumberFormat="1" applyFont="1" applyFill="1" applyAlignment="1">
      <alignment horizontal="right" vertical="top"/>
    </xf>
    <xf numFmtId="3" fontId="225" fillId="3" borderId="0" xfId="7153" quotePrefix="1" applyNumberFormat="1" applyFont="1" applyFill="1" applyAlignment="1">
      <alignment horizontal="right" vertical="top"/>
    </xf>
    <xf numFmtId="3" fontId="225" fillId="113" borderId="0" xfId="7153" quotePrefix="1" applyNumberFormat="1" applyFont="1" applyFill="1" applyAlignment="1">
      <alignment horizontal="right" vertical="top"/>
    </xf>
    <xf numFmtId="3" fontId="225" fillId="3" borderId="59" xfId="7153" applyNumberFormat="1" applyFont="1" applyFill="1" applyBorder="1" applyAlignment="1">
      <alignment horizontal="right" vertical="top"/>
    </xf>
    <xf numFmtId="3" fontId="225" fillId="113" borderId="59" xfId="7153" applyNumberFormat="1" applyFont="1" applyFill="1" applyBorder="1" applyAlignment="1">
      <alignment horizontal="right" vertical="top"/>
    </xf>
    <xf numFmtId="0" fontId="242" fillId="3" borderId="0" xfId="7148" applyFont="1" applyFill="1" applyAlignment="1">
      <alignment wrapText="1"/>
    </xf>
    <xf numFmtId="3" fontId="242" fillId="3" borderId="0" xfId="7148" applyNumberFormat="1" applyFont="1" applyFill="1" applyAlignment="1">
      <alignment horizontal="center" vertical="top" wrapText="1"/>
    </xf>
    <xf numFmtId="3" fontId="242" fillId="113" borderId="0" xfId="7148" applyNumberFormat="1" applyFont="1" applyFill="1" applyAlignment="1">
      <alignment horizontal="center" vertical="top" wrapText="1"/>
    </xf>
    <xf numFmtId="0" fontId="223" fillId="3" borderId="0" xfId="0" applyFont="1" applyFill="1" applyAlignment="1">
      <alignment horizontal="left" vertical="center" wrapText="1" indent="1"/>
    </xf>
    <xf numFmtId="1" fontId="223" fillId="3" borderId="0" xfId="7153" applyNumberFormat="1" applyFont="1" applyFill="1" applyAlignment="1">
      <alignment horizontal="right"/>
    </xf>
    <xf numFmtId="1" fontId="223" fillId="113" borderId="0" xfId="7153" applyNumberFormat="1" applyFont="1" applyFill="1" applyAlignment="1">
      <alignment horizontal="right"/>
    </xf>
    <xf numFmtId="0" fontId="223" fillId="3" borderId="0" xfId="0" quotePrefix="1" applyFont="1" applyFill="1" applyAlignment="1">
      <alignment horizontal="left" vertical="center" indent="1"/>
    </xf>
    <xf numFmtId="1" fontId="223" fillId="3" borderId="0" xfId="7153" quotePrefix="1" applyNumberFormat="1" applyFont="1" applyFill="1" applyAlignment="1">
      <alignment horizontal="right"/>
    </xf>
    <xf numFmtId="1" fontId="223" fillId="113" borderId="0" xfId="7153" quotePrefix="1" applyNumberFormat="1" applyFont="1" applyFill="1" applyAlignment="1">
      <alignment horizontal="right"/>
    </xf>
    <xf numFmtId="0" fontId="223" fillId="111" borderId="60" xfId="7147" applyNumberFormat="1" applyFont="1" applyFill="1" applyAlignment="1">
      <alignment wrapText="1"/>
    </xf>
    <xf numFmtId="0" fontId="225" fillId="111" borderId="61" xfId="10" applyFont="1" applyFill="1" applyBorder="1" applyAlignment="1">
      <alignment wrapText="1"/>
    </xf>
    <xf numFmtId="3" fontId="225" fillId="111" borderId="61" xfId="10" applyNumberFormat="1" applyFont="1" applyFill="1" applyBorder="1" applyAlignment="1">
      <alignment horizontal="right" wrapText="1"/>
    </xf>
    <xf numFmtId="3" fontId="225" fillId="113" borderId="61" xfId="10" applyNumberFormat="1" applyFont="1" applyFill="1" applyBorder="1" applyAlignment="1">
      <alignment horizontal="right" wrapText="1"/>
    </xf>
    <xf numFmtId="3" fontId="223" fillId="111" borderId="0" xfId="6" applyNumberFormat="1" applyFont="1" applyFill="1" applyBorder="1" applyAlignment="1"/>
    <xf numFmtId="0" fontId="223" fillId="111" borderId="0" xfId="6" applyFont="1" applyFill="1" applyBorder="1" applyAlignment="1">
      <alignment horizontal="left"/>
    </xf>
    <xf numFmtId="0" fontId="223" fillId="3" borderId="0" xfId="127" applyFont="1" applyFill="1" applyAlignment="1"/>
    <xf numFmtId="0" fontId="223" fillId="3" borderId="0" xfId="127" applyFont="1" applyFill="1" applyAlignment="1">
      <alignment vertical="center" wrapText="1"/>
    </xf>
    <xf numFmtId="3" fontId="225" fillId="3" borderId="0" xfId="0" applyNumberFormat="1" applyFont="1" applyFill="1" applyAlignment="1">
      <alignment horizontal="right"/>
    </xf>
    <xf numFmtId="0" fontId="105" fillId="3" borderId="0" xfId="0" applyFont="1" applyFill="1" applyAlignment="1">
      <alignment wrapText="1"/>
    </xf>
    <xf numFmtId="3" fontId="223" fillId="115" borderId="0" xfId="7" applyNumberFormat="1" applyFont="1" applyFill="1" applyBorder="1" applyAlignment="1">
      <alignment horizontal="right" wrapText="1"/>
    </xf>
    <xf numFmtId="3" fontId="223" fillId="114" borderId="0" xfId="7" applyNumberFormat="1" applyFont="1" applyFill="1" applyBorder="1" applyAlignment="1">
      <alignment horizontal="right" wrapText="1"/>
    </xf>
    <xf numFmtId="0" fontId="223" fillId="3" borderId="60" xfId="7147" applyNumberFormat="1" applyFont="1" applyFill="1" applyAlignment="1">
      <alignment horizontal="left" wrapText="1"/>
    </xf>
    <xf numFmtId="0" fontId="223" fillId="3" borderId="60" xfId="7147" applyFont="1" applyFill="1" applyAlignment="1"/>
    <xf numFmtId="1" fontId="225" fillId="3" borderId="0" xfId="0" applyNumberFormat="1" applyFont="1" applyFill="1" applyAlignment="1">
      <alignment horizontal="right" vertical="top"/>
    </xf>
    <xf numFmtId="0" fontId="225" fillId="3" borderId="0" xfId="0" applyFont="1" applyFill="1" applyAlignment="1">
      <alignment horizontal="right" vertical="top"/>
    </xf>
    <xf numFmtId="0" fontId="225" fillId="113" borderId="0" xfId="0" applyFont="1" applyFill="1" applyAlignment="1">
      <alignment horizontal="right" vertical="top"/>
    </xf>
    <xf numFmtId="1" fontId="225" fillId="113" borderId="0" xfId="0" applyNumberFormat="1" applyFont="1" applyFill="1" applyAlignment="1">
      <alignment horizontal="right" vertical="top"/>
    </xf>
    <xf numFmtId="3" fontId="223" fillId="116" borderId="0" xfId="0" applyNumberFormat="1" applyFont="1" applyFill="1" applyAlignment="1">
      <alignment horizontal="right"/>
    </xf>
    <xf numFmtId="0" fontId="223" fillId="111" borderId="0" xfId="0" applyFont="1" applyFill="1" applyAlignment="1">
      <alignment wrapText="1"/>
    </xf>
    <xf numFmtId="0" fontId="224" fillId="111" borderId="59" xfId="7146" applyFont="1" applyFill="1" applyAlignment="1"/>
    <xf numFmtId="3" fontId="241" fillId="111" borderId="0" xfId="7150" applyNumberFormat="1" applyFont="1" applyFill="1" applyAlignment="1">
      <alignment horizontal="right" wrapText="1"/>
    </xf>
    <xf numFmtId="3" fontId="241" fillId="113" borderId="0" xfId="7150" applyNumberFormat="1" applyFont="1" applyFill="1" applyAlignment="1">
      <alignment horizontal="right" wrapText="1"/>
    </xf>
    <xf numFmtId="0" fontId="241" fillId="111" borderId="0" xfId="7150" applyFont="1" applyFill="1" applyAlignment="1">
      <alignment wrapText="1"/>
    </xf>
    <xf numFmtId="0" fontId="237" fillId="3" borderId="0" xfId="7" applyFont="1" applyFill="1" applyBorder="1" applyAlignment="1">
      <alignment vertical="top" wrapText="1"/>
    </xf>
    <xf numFmtId="0" fontId="237" fillId="3" borderId="0" xfId="7" applyFont="1" applyFill="1" applyBorder="1" applyAlignment="1">
      <alignment wrapText="1"/>
    </xf>
    <xf numFmtId="0" fontId="105" fillId="111" borderId="0" xfId="6" applyFont="1" applyFill="1" applyBorder="1" applyAlignment="1">
      <alignment wrapText="1"/>
    </xf>
    <xf numFmtId="0" fontId="237" fillId="3" borderId="0" xfId="0" applyFont="1" applyFill="1" applyAlignment="1">
      <alignment wrapText="1"/>
    </xf>
    <xf numFmtId="3" fontId="223" fillId="117" borderId="0" xfId="0" applyNumberFormat="1" applyFont="1" applyFill="1" applyAlignment="1">
      <alignment horizontal="right"/>
    </xf>
    <xf numFmtId="0" fontId="232" fillId="3" borderId="0" xfId="0" applyFont="1" applyFill="1" applyAlignment="1">
      <alignment wrapText="1"/>
    </xf>
    <xf numFmtId="0" fontId="105" fillId="3" borderId="0" xfId="0" applyFont="1" applyFill="1" applyAlignment="1"/>
    <xf numFmtId="0" fontId="237" fillId="111" borderId="0" xfId="0" applyFont="1" applyFill="1" applyAlignment="1">
      <alignment wrapText="1"/>
    </xf>
    <xf numFmtId="0" fontId="105" fillId="111" borderId="0" xfId="0" applyFont="1" applyFill="1" applyAlignment="1">
      <alignment wrapText="1"/>
    </xf>
    <xf numFmtId="4" fontId="223" fillId="117" borderId="0" xfId="0" applyNumberFormat="1" applyFont="1" applyFill="1" applyAlignment="1">
      <alignment horizontal="right" vertical="top" wrapText="1"/>
    </xf>
    <xf numFmtId="1" fontId="225" fillId="111" borderId="0" xfId="0" applyNumberFormat="1" applyFont="1" applyFill="1" applyAlignment="1">
      <alignment horizontal="right" wrapText="1"/>
    </xf>
    <xf numFmtId="3" fontId="225" fillId="113" borderId="0" xfId="0" applyNumberFormat="1" applyFont="1" applyFill="1" applyAlignment="1">
      <alignment horizontal="right"/>
    </xf>
    <xf numFmtId="0" fontId="225" fillId="3" borderId="0" xfId="0" applyFont="1" applyFill="1" applyAlignment="1">
      <alignment horizontal="left" wrapText="1"/>
    </xf>
    <xf numFmtId="0" fontId="225" fillId="113" borderId="0" xfId="0" applyFont="1" applyFill="1" applyAlignment="1">
      <alignment horizontal="left" wrapText="1"/>
    </xf>
    <xf numFmtId="4" fontId="225" fillId="3" borderId="0" xfId="0" applyNumberFormat="1" applyFont="1" applyFill="1" applyAlignment="1">
      <alignment horizontal="right"/>
    </xf>
    <xf numFmtId="4" fontId="225" fillId="113" borderId="0" xfId="0" applyNumberFormat="1" applyFont="1" applyFill="1" applyAlignment="1">
      <alignment horizontal="right"/>
    </xf>
    <xf numFmtId="0" fontId="235" fillId="3" borderId="0" xfId="0" applyFont="1" applyFill="1" applyAlignment="1"/>
    <xf numFmtId="0" fontId="235" fillId="0" borderId="0" xfId="0" applyFont="1" applyAlignment="1"/>
    <xf numFmtId="0" fontId="224" fillId="111" borderId="59" xfId="7146" applyFont="1" applyFill="1" applyAlignment="1">
      <alignment wrapText="1"/>
    </xf>
    <xf numFmtId="3" fontId="223" fillId="3" borderId="0" xfId="7153" applyNumberFormat="1" applyFont="1" applyFill="1" applyAlignment="1">
      <alignment horizontal="right" vertical="top"/>
    </xf>
    <xf numFmtId="3" fontId="223" fillId="113" borderId="0" xfId="7153" applyNumberFormat="1" applyFont="1" applyFill="1" applyAlignment="1">
      <alignment horizontal="right" vertical="top"/>
    </xf>
    <xf numFmtId="3" fontId="223" fillId="111" borderId="0" xfId="0" applyNumberFormat="1" applyFont="1" applyFill="1" applyAlignment="1">
      <alignment horizontal="right" vertical="top" wrapText="1"/>
    </xf>
    <xf numFmtId="0" fontId="223" fillId="111" borderId="0" xfId="0" applyFont="1" applyFill="1" applyAlignment="1">
      <alignment wrapText="1"/>
    </xf>
    <xf numFmtId="0" fontId="223" fillId="111" borderId="0" xfId="0" applyFont="1" applyFill="1" applyAlignment="1">
      <alignment horizontal="left" wrapText="1"/>
    </xf>
    <xf numFmtId="0" fontId="224" fillId="111" borderId="59" xfId="7146" applyFont="1" applyFill="1" applyAlignment="1"/>
    <xf numFmtId="0" fontId="223" fillId="111" borderId="59" xfId="0" applyFont="1" applyFill="1" applyBorder="1" applyAlignment="1"/>
    <xf numFmtId="0" fontId="105" fillId="111" borderId="60" xfId="7147" applyNumberFormat="1" applyFont="1" applyFill="1" applyAlignment="1">
      <alignment vertical="center"/>
    </xf>
    <xf numFmtId="0" fontId="223" fillId="111" borderId="60" xfId="0" applyFont="1" applyFill="1" applyBorder="1" applyAlignment="1">
      <alignment vertical="center"/>
    </xf>
    <xf numFmtId="0" fontId="14" fillId="3" borderId="0" xfId="127" applyFont="1" applyFill="1" applyBorder="1" applyAlignment="1">
      <alignment horizontal="left" wrapText="1"/>
    </xf>
    <xf numFmtId="0" fontId="223" fillId="111" borderId="0" xfId="0" applyFont="1" applyFill="1" applyBorder="1" applyAlignment="1">
      <alignment horizontal="left" wrapText="1"/>
    </xf>
    <xf numFmtId="0" fontId="105" fillId="111" borderId="0" xfId="6" applyFont="1" applyFill="1" applyBorder="1" applyAlignment="1">
      <alignment horizontal="left" wrapText="1"/>
    </xf>
    <xf numFmtId="0" fontId="237" fillId="3" borderId="0" xfId="7" applyFont="1" applyFill="1" applyBorder="1" applyAlignment="1">
      <alignment horizontal="left" vertical="top" wrapText="1"/>
    </xf>
    <xf numFmtId="0" fontId="237" fillId="3" borderId="0" xfId="7" applyFont="1" applyFill="1" applyBorder="1" applyAlignment="1">
      <alignment horizontal="left" wrapText="1"/>
    </xf>
    <xf numFmtId="0" fontId="105" fillId="3" borderId="0" xfId="0" applyFont="1" applyFill="1" applyAlignment="1">
      <alignment horizontal="left" wrapText="1"/>
    </xf>
    <xf numFmtId="0" fontId="237" fillId="3" borderId="0" xfId="0" applyFont="1" applyFill="1" applyAlignment="1">
      <alignment horizontal="left" wrapText="1"/>
    </xf>
    <xf numFmtId="0" fontId="105" fillId="3" borderId="0" xfId="0" applyFont="1" applyFill="1" applyAlignment="1">
      <alignment horizontal="left"/>
    </xf>
    <xf numFmtId="0" fontId="224" fillId="3" borderId="59" xfId="7146" applyFont="1" applyFill="1" applyAlignment="1">
      <alignment horizontal="left" wrapText="1"/>
    </xf>
    <xf numFmtId="0" fontId="237" fillId="111" borderId="0" xfId="0" applyFont="1" applyFill="1" applyAlignment="1">
      <alignment horizontal="left" wrapText="1"/>
    </xf>
    <xf numFmtId="0" fontId="105" fillId="111" borderId="0" xfId="0" applyFont="1" applyFill="1" applyAlignment="1">
      <alignment horizontal="left" wrapText="1"/>
    </xf>
    <xf numFmtId="0" fontId="0" fillId="0" borderId="4" xfId="6" applyFont="1" applyAlignment="1">
      <alignment horizontal="left" wrapText="1"/>
    </xf>
    <xf numFmtId="0" fontId="0" fillId="0" borderId="4" xfId="6" applyFont="1" applyBorder="1" applyAlignment="1">
      <alignment horizontal="left"/>
    </xf>
  </cellXfs>
  <cellStyles count="7159">
    <cellStyle name="_x000a_bidires=100_x000d_" xfId="12"/>
    <cellStyle name="_x000a_bidires=100_x000d_ 2" xfId="324"/>
    <cellStyle name="_x000a_bidires=100_x000d_ 2 2" xfId="1041"/>
    <cellStyle name="_x000a_bidires=100_x000d_ 2 3" xfId="956"/>
    <cellStyle name="_x000a_bidires=100_x000d_ 2 4" xfId="1224"/>
    <cellStyle name="_x000a_bidires=100_x000d_ 2 5" xfId="1153"/>
    <cellStyle name="_x000a_bidires=100_x000d_ 2 6" xfId="2643"/>
    <cellStyle name="_x000a_bidires=100_x000d_ 2 7" xfId="3962"/>
    <cellStyle name="_00 Summary CCS Jan-Dec 2008" xfId="760"/>
    <cellStyle name="_09 IFRS Accounts file 14102008" xfId="325"/>
    <cellStyle name="_09 IFRS Accounts file 14102008 2" xfId="1042"/>
    <cellStyle name="_09 IFRS Accounts file 14102008 3" xfId="957"/>
    <cellStyle name="_09 IFRS Accounts file 14102008 4" xfId="1225"/>
    <cellStyle name="_09 IFRS Accounts file 14102008 5" xfId="1314"/>
    <cellStyle name="_09 IFRS Accounts file 14102008 6" xfId="2644"/>
    <cellStyle name="_09 IFRS Accounts file 14102008_check" xfId="535"/>
    <cellStyle name="_090508_cont 7581_aprilie 2009" xfId="536"/>
    <cellStyle name="_090904_CA Traded Goods template 08 2009_FINAL" xfId="761"/>
    <cellStyle name="_090904_CA Traded Goods template 08 2009_v3" xfId="762"/>
    <cellStyle name="_091003_CA Traded Goods template 09 2009" xfId="763"/>
    <cellStyle name="_130191" xfId="764"/>
    <cellStyle name="_4012" xfId="326"/>
    <cellStyle name="_Accruals Refining - to be checked1 (3)" xfId="765"/>
    <cellStyle name="_Accruals Refining - to be checked1 (3) 2" xfId="766"/>
    <cellStyle name="_Adjustment cost centers" xfId="327"/>
    <cellStyle name="_Adjustment cost centers 2" xfId="1043"/>
    <cellStyle name="_Adjustment cost centers 3" xfId="958"/>
    <cellStyle name="_Adjustment cost centers 4" xfId="1226"/>
    <cellStyle name="_Adjustment cost centers 5" xfId="1220"/>
    <cellStyle name="_Adjustment cost centers 6" xfId="2645"/>
    <cellStyle name="_AM impartire_feb 2009_1" xfId="767"/>
    <cellStyle name="_AP Adjustments_1R01_Martie_2011" xfId="328"/>
    <cellStyle name="_AP Adjustments_1R01_Martie_2011 2" xfId="1044"/>
    <cellStyle name="_AP Adjustments_1R01_Martie_2011 3" xfId="959"/>
    <cellStyle name="_AP Adjustments_1R01_Martie_2011 4" xfId="1227"/>
    <cellStyle name="_AP Adjustments_1R01_Martie_2011 5" xfId="1430"/>
    <cellStyle name="_AP Adjustments_1R01_Martie_2011 6" xfId="2646"/>
    <cellStyle name="_Book1" xfId="768"/>
    <cellStyle name="_Book1 2" xfId="769"/>
    <cellStyle name="_Book2" xfId="770"/>
    <cellStyle name="_Book2 2" xfId="771"/>
    <cellStyle name="_Book4" xfId="772"/>
    <cellStyle name="_Book5" xfId="3994"/>
    <cellStyle name="_Book6" xfId="3995"/>
    <cellStyle name="_Brunel_ITT CAPEX &amp; OPEX_Feb 2011" xfId="329"/>
    <cellStyle name="_BS and IS" xfId="330"/>
    <cellStyle name="_BS and IS 2" xfId="537"/>
    <cellStyle name="_BS and IS 2 2" xfId="4118"/>
    <cellStyle name="_BS and IS 3" xfId="538"/>
    <cellStyle name="_BS and IS 3 2" xfId="4119"/>
    <cellStyle name="_BS and IS 4" xfId="539"/>
    <cellStyle name="_BS and IS 5" xfId="3996"/>
    <cellStyle name="_BS and IS_check" xfId="540"/>
    <cellStyle name="_CC ajustari" xfId="331"/>
    <cellStyle name="_CC ajustari 2" xfId="1045"/>
    <cellStyle name="_CC ajustari 3" xfId="960"/>
    <cellStyle name="_CC ajustari 4" xfId="1228"/>
    <cellStyle name="_CC ajustari 5" xfId="1416"/>
    <cellStyle name="_CC ajustari 6" xfId="2647"/>
    <cellStyle name="_Cont 7581_ian_august final 2009" xfId="541"/>
    <cellStyle name="_Cont 7581_ian_iulie 2009" xfId="542"/>
    <cellStyle name="_Cont 7581_ian_noiembrie 2009_final_HQ" xfId="543"/>
    <cellStyle name="_Cont 7581_ian_octombrie 2009_final_HQ" xfId="544"/>
    <cellStyle name="_Cont 7581_ianuarie 2010_HQ" xfId="545"/>
    <cellStyle name="_corectii COPA iulie" xfId="773"/>
    <cellStyle name="_corectii COPA iunie (5)" xfId="774"/>
    <cellStyle name="_Crude oil and petroleum products MOF November  2009" xfId="775"/>
    <cellStyle name="_Emission rights May 2011" xfId="332"/>
    <cellStyle name="_Emission rights May 2011 2" xfId="1046"/>
    <cellStyle name="_Emission rights May 2011 3" xfId="961"/>
    <cellStyle name="_Emission rights May 2011 4" xfId="1229"/>
    <cellStyle name="_Emission rights May 2011 5" xfId="1433"/>
    <cellStyle name="_Emission rights May 2011 6" xfId="2648"/>
    <cellStyle name="_ICO Purchases Dec 2011" xfId="333"/>
    <cellStyle name="_ICO Purchases September 2011" xfId="334"/>
    <cellStyle name="_ICO Sales AR_PETROM iunie 2011" xfId="335"/>
    <cellStyle name="_ICO Sales AR_PETROM martie 2011" xfId="336"/>
    <cellStyle name="_ICO Sales AR_PETROM septembrie 2011 v1" xfId="337"/>
    <cellStyle name="_ICO Sales December 2010" xfId="338"/>
    <cellStyle name="_ICO Sales_Petrom Decembrie 2011 Final" xfId="339"/>
    <cellStyle name="_LATE AJE RAS IUNIE" xfId="776"/>
    <cellStyle name="_Mapare RAS_alternativ - HFM Final update" xfId="340"/>
    <cellStyle name="_Mapare RAS_alternativ - HFM Final update 02.10" xfId="341"/>
    <cellStyle name="_Mapare RAS_alternativ - HFM Final update 02.10_ICO Purchases Dec 2011" xfId="342"/>
    <cellStyle name="_Mapare RAS_alternativ - HFM Final update 02.10_ICO Purchases Dec 2011 2" xfId="1047"/>
    <cellStyle name="_Mapare RAS_alternativ - HFM Final update 02.10_ICO Purchases Dec 2011 3" xfId="962"/>
    <cellStyle name="_Mapare RAS_alternativ - HFM Final update 02.10_ICO Purchases Dec 2011 4" xfId="1230"/>
    <cellStyle name="_Mapare RAS_alternativ - HFM Final update 02.10_ICO Purchases Dec 2011 5" xfId="1428"/>
    <cellStyle name="_Mapare RAS_alternativ - HFM Final update 02.10_ICO Purchases Dec 2011 6" xfId="2649"/>
    <cellStyle name="_Mapare RAS_alternativ - HFM Final update 02.10_ICO Purchases September 2011" xfId="343"/>
    <cellStyle name="_Mapare RAS_alternativ - HFM Final update 02.10_ICO Purchases September 2011 2" xfId="1048"/>
    <cellStyle name="_Mapare RAS_alternativ - HFM Final update 02.10_ICO Purchases September 2011 3" xfId="963"/>
    <cellStyle name="_Mapare RAS_alternativ - HFM Final update 02.10_ICO Purchases September 2011 4" xfId="1231"/>
    <cellStyle name="_Mapare RAS_alternativ - HFM Final update 02.10_ICO Purchases September 2011 5" xfId="1205"/>
    <cellStyle name="_Mapare RAS_alternativ - HFM Final update 02.10_ICO Purchases September 2011 6" xfId="2650"/>
    <cellStyle name="_Mapare RAS_alternativ - HFM Final update 02.10_ICO Sales AR_PETROM martie 2011" xfId="344"/>
    <cellStyle name="_Mapare RAS_alternativ - HFM Final update 02.10_ICO Sales AR_PETROM martie 2011 2" xfId="1049"/>
    <cellStyle name="_Mapare RAS_alternativ - HFM Final update 02.10_ICO Sales AR_PETROM martie 2011 3" xfId="964"/>
    <cellStyle name="_Mapare RAS_alternativ - HFM Final update 02.10_ICO Sales AR_PETROM martie 2011 4" xfId="1232"/>
    <cellStyle name="_Mapare RAS_alternativ - HFM Final update 02.10_ICO Sales AR_PETROM martie 2011 5" xfId="1180"/>
    <cellStyle name="_Mapare RAS_alternativ - HFM Final update 02.10_ICO Sales AR_PETROM martie 2011 6" xfId="2651"/>
    <cellStyle name="_Mapare RAS_alternativ - HFM Final update 02.10_ICO Sales AR_PETROM septembrie 2011 v1" xfId="345"/>
    <cellStyle name="_Mapare RAS_alternativ - HFM Final update 02.10_ICO Sales December 2010" xfId="346"/>
    <cellStyle name="_Mapare RAS_alternativ - HFM Final update 02.10_ICO Sales_Petrom Decembrie 2011 Final" xfId="347"/>
    <cellStyle name="_Mapare RAS_alternativ - HFM Final update 02.10_ICO Sales_Petrom Decembrie 2011 Final 2" xfId="1050"/>
    <cellStyle name="_Mapare RAS_alternativ - HFM Final update 02.10_ICO Sales_Petrom Decembrie 2011 Final 3" xfId="965"/>
    <cellStyle name="_Mapare RAS_alternativ - HFM Final update 02.10_ICO Sales_Petrom Decembrie 2011 Final 4" xfId="1233"/>
    <cellStyle name="_Mapare RAS_alternativ - HFM Final update 02.10_ICO Sales_Petrom Decembrie 2011 Final 5" xfId="1152"/>
    <cellStyle name="_Mapare RAS_alternativ - HFM Final update 02.10_ICO Sales_Petrom Decembrie 2011 Final 6" xfId="2652"/>
    <cellStyle name="_Mapare RAS_alternativ - HFM Final update 15.06" xfId="348"/>
    <cellStyle name="_Mapare RAS_alternativ - HFM Final update 15.06_ICO Purchases Dec 2011" xfId="349"/>
    <cellStyle name="_Mapare RAS_alternativ - HFM Final update 15.06_ICO Purchases Dec 2011 2" xfId="1051"/>
    <cellStyle name="_Mapare RAS_alternativ - HFM Final update 15.06_ICO Purchases Dec 2011 3" xfId="966"/>
    <cellStyle name="_Mapare RAS_alternativ - HFM Final update 15.06_ICO Purchases Dec 2011 4" xfId="1234"/>
    <cellStyle name="_Mapare RAS_alternativ - HFM Final update 15.06_ICO Purchases Dec 2011 5" xfId="1142"/>
    <cellStyle name="_Mapare RAS_alternativ - HFM Final update 15.06_ICO Purchases Dec 2011 6" xfId="2653"/>
    <cellStyle name="_Mapare RAS_alternativ - HFM Final update 15.06_ICO Purchases September 2011" xfId="350"/>
    <cellStyle name="_Mapare RAS_alternativ - HFM Final update 15.06_ICO Purchases September 2011 2" xfId="1052"/>
    <cellStyle name="_Mapare RAS_alternativ - HFM Final update 15.06_ICO Purchases September 2011 3" xfId="967"/>
    <cellStyle name="_Mapare RAS_alternativ - HFM Final update 15.06_ICO Purchases September 2011 4" xfId="1235"/>
    <cellStyle name="_Mapare RAS_alternativ - HFM Final update 15.06_ICO Purchases September 2011 5" xfId="1219"/>
    <cellStyle name="_Mapare RAS_alternativ - HFM Final update 15.06_ICO Purchases September 2011 6" xfId="2654"/>
    <cellStyle name="_Mapare RAS_alternativ - HFM Final update 15.06_ICO Sales AR_PETROM martie 2011" xfId="351"/>
    <cellStyle name="_Mapare RAS_alternativ - HFM Final update 15.06_ICO Sales AR_PETROM martie 2011 2" xfId="1053"/>
    <cellStyle name="_Mapare RAS_alternativ - HFM Final update 15.06_ICO Sales AR_PETROM martie 2011 3" xfId="968"/>
    <cellStyle name="_Mapare RAS_alternativ - HFM Final update 15.06_ICO Sales AR_PETROM martie 2011 4" xfId="1236"/>
    <cellStyle name="_Mapare RAS_alternativ - HFM Final update 15.06_ICO Sales AR_PETROM martie 2011 5" xfId="1200"/>
    <cellStyle name="_Mapare RAS_alternativ - HFM Final update 15.06_ICO Sales AR_PETROM martie 2011 6" xfId="2655"/>
    <cellStyle name="_Mapare RAS_alternativ - HFM Final update 15.06_ICO Sales AR_PETROM septembrie 2011 v1" xfId="352"/>
    <cellStyle name="_Mapare RAS_alternativ - HFM Final update 15.06_ICO Sales December 2010" xfId="353"/>
    <cellStyle name="_Mapare RAS_alternativ - HFM Final update 15.06_ICO Sales_Petrom Decembrie 2011 Final" xfId="354"/>
    <cellStyle name="_Mapare RAS_alternativ - HFM Final update 15.06_ICO Sales_Petrom Decembrie 2011 Final 2" xfId="1054"/>
    <cellStyle name="_Mapare RAS_alternativ - HFM Final update 15.06_ICO Sales_Petrom Decembrie 2011 Final 3" xfId="969"/>
    <cellStyle name="_Mapare RAS_alternativ - HFM Final update 15.06_ICO Sales_Petrom Decembrie 2011 Final 4" xfId="1237"/>
    <cellStyle name="_Mapare RAS_alternativ - HFM Final update 15.06_ICO Sales_Petrom Decembrie 2011 Final 5" xfId="1419"/>
    <cellStyle name="_Mapare RAS_alternativ - HFM Final update 15.06_ICO Sales_Petrom Decembrie 2011 Final 6" xfId="2656"/>
    <cellStyle name="_Mapare RAS_alternativ - HFM Final update_ICO Purchases Dec 2011" xfId="355"/>
    <cellStyle name="_Mapare RAS_alternativ - HFM Final update_ICO Purchases Dec 2011 2" xfId="1055"/>
    <cellStyle name="_Mapare RAS_alternativ - HFM Final update_ICO Purchases Dec 2011 3" xfId="970"/>
    <cellStyle name="_Mapare RAS_alternativ - HFM Final update_ICO Purchases Dec 2011 4" xfId="1238"/>
    <cellStyle name="_Mapare RAS_alternativ - HFM Final update_ICO Purchases Dec 2011 5" xfId="1440"/>
    <cellStyle name="_Mapare RAS_alternativ - HFM Final update_ICO Purchases Dec 2011 6" xfId="2657"/>
    <cellStyle name="_Mapare RAS_alternativ - HFM Final update_ICO Purchases September 2011" xfId="356"/>
    <cellStyle name="_Mapare RAS_alternativ - HFM Final update_ICO Purchases September 2011 2" xfId="1056"/>
    <cellStyle name="_Mapare RAS_alternativ - HFM Final update_ICO Purchases September 2011 3" xfId="971"/>
    <cellStyle name="_Mapare RAS_alternativ - HFM Final update_ICO Purchases September 2011 4" xfId="1239"/>
    <cellStyle name="_Mapare RAS_alternativ - HFM Final update_ICO Purchases September 2011 5" xfId="1218"/>
    <cellStyle name="_Mapare RAS_alternativ - HFM Final update_ICO Purchases September 2011 6" xfId="2658"/>
    <cellStyle name="_Mapare RAS_alternativ - HFM Final update_ICO Sales AR_PETROM martie 2011" xfId="357"/>
    <cellStyle name="_Mapare RAS_alternativ - HFM Final update_ICO Sales AR_PETROM martie 2011 2" xfId="1057"/>
    <cellStyle name="_Mapare RAS_alternativ - HFM Final update_ICO Sales AR_PETROM martie 2011 3" xfId="972"/>
    <cellStyle name="_Mapare RAS_alternativ - HFM Final update_ICO Sales AR_PETROM martie 2011 4" xfId="1240"/>
    <cellStyle name="_Mapare RAS_alternativ - HFM Final update_ICO Sales AR_PETROM martie 2011 5" xfId="1194"/>
    <cellStyle name="_Mapare RAS_alternativ - HFM Final update_ICO Sales AR_PETROM martie 2011 6" xfId="2659"/>
    <cellStyle name="_Mapare RAS_alternativ - HFM Final update_ICO Sales AR_PETROM septembrie 2011 v1" xfId="358"/>
    <cellStyle name="_Mapare RAS_alternativ - HFM Final update_ICO Sales December 2010" xfId="359"/>
    <cellStyle name="_Mapare RAS_alternativ - HFM Final update_ICO Sales_Petrom Decembrie 2011 Final" xfId="360"/>
    <cellStyle name="_Mapare RAS_alternativ - HFM Final update_ICO Sales_Petrom Decembrie 2011 Final 2" xfId="1058"/>
    <cellStyle name="_Mapare RAS_alternativ - HFM Final update_ICO Sales_Petrom Decembrie 2011 Final 3" xfId="973"/>
    <cellStyle name="_Mapare RAS_alternativ - HFM Final update_ICO Sales_Petrom Decembrie 2011 Final 4" xfId="1241"/>
    <cellStyle name="_Mapare RAS_alternativ - HFM Final update_ICO Sales_Petrom Decembrie 2011 Final 5" xfId="1145"/>
    <cellStyle name="_Mapare RAS_alternativ - HFM Final update_ICO Sales_Petrom Decembrie 2011 Final 6" xfId="2660"/>
    <cellStyle name="_Mapping" xfId="546"/>
    <cellStyle name="_oltchim_30  04  2009  FINAL 3" xfId="547"/>
    <cellStyle name="_oltchim_30_ 06_ 2009 " xfId="548"/>
    <cellStyle name="_oltchim_30_ 09_ 2009 " xfId="549"/>
    <cellStyle name="_oltchim_31  05  2009 " xfId="550"/>
    <cellStyle name="_oltchim_31_ 07_ 2009 " xfId="551"/>
    <cellStyle name="_oltchim_31_ 08_ 2009 " xfId="552"/>
    <cellStyle name="_oltchim_31_ 12_ 2009 " xfId="553"/>
    <cellStyle name="_Other corrections - inventories August 2008 var 2" xfId="777"/>
    <cellStyle name="_Other corrections - inventories August 2008 var 2_Terminals stock valuation March 2011 HQ" xfId="778"/>
    <cellStyle name="_Other corrections - inventories August 2008 var 2_Terminals stock valuation March 2011 HQ 2" xfId="779"/>
    <cellStyle name="_Other corrections - inventories August 2008 var 2_Valuation Refining products May 2011" xfId="780"/>
    <cellStyle name="_Other corrections - inventories August 2008 var 2_Valuation Refining products May 2011 2" xfId="781"/>
    <cellStyle name="_Penalitati de intarziere la plata_cont 7581_ianuarie_iunie_2009" xfId="554"/>
    <cellStyle name="_Penalitati de intarziere la plata_cont 7581_ianuarie_mai_2009" xfId="555"/>
    <cellStyle name="_Penalitati de intarziere la plata_cont 7581_ianuarie_martie_2009" xfId="556"/>
    <cellStyle name="_Reclasificare ian-aprilie" xfId="782"/>
    <cellStyle name="_Reclasificare ian-aprilie 2" xfId="783"/>
    <cellStyle name="_Service Center - Ajustari push-down_December" xfId="784"/>
    <cellStyle name="_Service Center - Ajustari push-down_December 2" xfId="785"/>
    <cellStyle name="_Stock analysis" xfId="786"/>
    <cellStyle name="_Summary Contractors Refining September 2008 CVAP 20081009" xfId="787"/>
    <cellStyle name="_Summary Contractors Refining September 2008 CVAP 20081009 2" xfId="788"/>
    <cellStyle name="_Summary of not recorded stock count and taxes" xfId="789"/>
    <cellStyle name="_Summary of not recorded stock count and taxes_Terminals stock valuation March 2011 HQ" xfId="790"/>
    <cellStyle name="_Summary of not recorded stock count and taxes_Terminals stock valuation March 2011 HQ 2" xfId="791"/>
    <cellStyle name="_Summary of not recorded stock count and taxes_Valuation Refining products May 2011" xfId="792"/>
    <cellStyle name="_Summary of not recorded stock count and taxes_Valuation Refining products May 2011 2" xfId="793"/>
    <cellStyle name="_TP RM fic" xfId="794"/>
    <cellStyle name="’Ê‰Ý [0.00]_Region Orders (2)" xfId="795"/>
    <cellStyle name="’Ê‰Ý_Region Orders (2)" xfId="796"/>
    <cellStyle name="•W€_Pacific Region P&amp;L" xfId="797"/>
    <cellStyle name="20 % - Akzent1 2" xfId="144"/>
    <cellStyle name="20 % - Akzent1 2 2" xfId="3867"/>
    <cellStyle name="20 % - Akzent1 3" xfId="4945"/>
    <cellStyle name="20 % - Akzent2 2" xfId="145"/>
    <cellStyle name="20 % - Akzent2 2 2" xfId="3868"/>
    <cellStyle name="20 % - Akzent2 3" xfId="4947"/>
    <cellStyle name="20 % - Akzent3 2" xfId="146"/>
    <cellStyle name="20 % - Akzent3 2 2" xfId="3869"/>
    <cellStyle name="20 % - Akzent3 3" xfId="4949"/>
    <cellStyle name="20 % - Akzent4 2" xfId="147"/>
    <cellStyle name="20 % - Akzent4 2 2" xfId="3870"/>
    <cellStyle name="20 % - Akzent4 3" xfId="4951"/>
    <cellStyle name="20 % - Akzent5 2" xfId="148"/>
    <cellStyle name="20 % - Akzent5 2 2" xfId="3871"/>
    <cellStyle name="20 % - Akzent5 3" xfId="4953"/>
    <cellStyle name="20 % - Akzent6 2" xfId="149"/>
    <cellStyle name="20 % - Akzent6 2 2" xfId="3872"/>
    <cellStyle name="20 % - Akzent6 3" xfId="4955"/>
    <cellStyle name="20% - Accent1" xfId="150"/>
    <cellStyle name="20% - Accent1 10" xfId="1447"/>
    <cellStyle name="20% - Accent1 10 2" xfId="2225"/>
    <cellStyle name="20% - Accent1 10 2 2" xfId="3315"/>
    <cellStyle name="20% - Accent1 10 2 2 2" xfId="6724"/>
    <cellStyle name="20% - Accent1 10 2 3" xfId="5726"/>
    <cellStyle name="20% - Accent1 10 3" xfId="2500"/>
    <cellStyle name="20% - Accent1 10 3 2" xfId="3585"/>
    <cellStyle name="20% - Accent1 10 3 2 2" xfId="6994"/>
    <cellStyle name="20% - Accent1 10 3 3" xfId="5996"/>
    <cellStyle name="20% - Accent1 10 4" xfId="1906"/>
    <cellStyle name="20% - Accent1 10 4 2" xfId="3001"/>
    <cellStyle name="20% - Accent1 10 4 2 2" xfId="6410"/>
    <cellStyle name="20% - Accent1 10 4 3" xfId="5412"/>
    <cellStyle name="20% - Accent1 10 5" xfId="1781"/>
    <cellStyle name="20% - Accent1 10 5 2" xfId="5291"/>
    <cellStyle name="20% - Accent1 10 6" xfId="2880"/>
    <cellStyle name="20% - Accent1 10 6 2" xfId="6289"/>
    <cellStyle name="20% - Accent1 10 7" xfId="3717"/>
    <cellStyle name="20% - Accent1 11" xfId="1462"/>
    <cellStyle name="20% - Accent1 11 2" xfId="2501"/>
    <cellStyle name="20% - Accent1 11 2 2" xfId="3586"/>
    <cellStyle name="20% - Accent1 11 2 2 2" xfId="6995"/>
    <cellStyle name="20% - Accent1 11 2 3" xfId="5997"/>
    <cellStyle name="20% - Accent1 11 3" xfId="2226"/>
    <cellStyle name="20% - Accent1 11 3 2" xfId="3316"/>
    <cellStyle name="20% - Accent1 11 3 2 2" xfId="6725"/>
    <cellStyle name="20% - Accent1 11 3 3" xfId="5727"/>
    <cellStyle name="20% - Accent1 11 4" xfId="1782"/>
    <cellStyle name="20% - Accent1 11 4 2" xfId="5292"/>
    <cellStyle name="20% - Accent1 11 5" xfId="2881"/>
    <cellStyle name="20% - Accent1 11 5 2" xfId="6290"/>
    <cellStyle name="20% - Accent1 11 6" xfId="4992"/>
    <cellStyle name="20% - Accent1 12" xfId="2059"/>
    <cellStyle name="20% - Accent1 12 2" xfId="3151"/>
    <cellStyle name="20% - Accent1 12 2 2" xfId="6560"/>
    <cellStyle name="20% - Accent1 12 3" xfId="5562"/>
    <cellStyle name="20% - Accent1 13" xfId="2333"/>
    <cellStyle name="20% - Accent1 13 2" xfId="3421"/>
    <cellStyle name="20% - Accent1 13 2 2" xfId="6830"/>
    <cellStyle name="20% - Accent1 13 3" xfId="5832"/>
    <cellStyle name="20% - Accent1 14" xfId="1890"/>
    <cellStyle name="20% - Accent1 14 2" xfId="2986"/>
    <cellStyle name="20% - Accent1 14 2 2" xfId="6395"/>
    <cellStyle name="20% - Accent1 14 3" xfId="5397"/>
    <cellStyle name="20% - Accent1 15" xfId="1614"/>
    <cellStyle name="20% - Accent1 15 2" xfId="2709"/>
    <cellStyle name="20% - Accent1 15 2 2" xfId="6125"/>
    <cellStyle name="20% - Accent1 15 3" xfId="5127"/>
    <cellStyle name="20% - Accent1 16" xfId="1570"/>
    <cellStyle name="20% - Accent1 16 2" xfId="5097"/>
    <cellStyle name="20% - Accent1 17" xfId="2623"/>
    <cellStyle name="20% - Accent1 17 2" xfId="6102"/>
    <cellStyle name="20% - Accent1 18" xfId="3702"/>
    <cellStyle name="20% - Accent1 19" xfId="508"/>
    <cellStyle name="20% - Accent1 2" xfId="361"/>
    <cellStyle name="20% - Accent1 2 2" xfId="557"/>
    <cellStyle name="20% - Accent1 2 2 2" xfId="3997"/>
    <cellStyle name="20% - Accent1 2 2 2 2" xfId="4212"/>
    <cellStyle name="20% - Accent1 2 2 2 2 2" xfId="4326"/>
    <cellStyle name="20% - Accent1 2 2 2 3" xfId="4327"/>
    <cellStyle name="20% - Accent1 2 2 3" xfId="4120"/>
    <cellStyle name="20% - Accent1 2 2 3 2" xfId="4213"/>
    <cellStyle name="20% - Accent1 2 2 3 2 2" xfId="4328"/>
    <cellStyle name="20% - Accent1 2 2 3 3" xfId="4329"/>
    <cellStyle name="20% - Accent1 2 2 4" xfId="4330"/>
    <cellStyle name="20% - Accent1 2 3" xfId="3998"/>
    <cellStyle name="20% - Accent1 2 4" xfId="4331"/>
    <cellStyle name="20% - Accent1 2 5" xfId="3912"/>
    <cellStyle name="20% - Accent1 3" xfId="558"/>
    <cellStyle name="20% - Accent1 4" xfId="559"/>
    <cellStyle name="20% - Accent1 5" xfId="1110"/>
    <cellStyle name="20% - Accent1 5 10" xfId="2743"/>
    <cellStyle name="20% - Accent1 5 10 2" xfId="6155"/>
    <cellStyle name="20% - Accent1 5 11" xfId="3747"/>
    <cellStyle name="20% - Accent1 5 2" xfId="1401"/>
    <cellStyle name="20% - Accent1 5 2 2" xfId="1552"/>
    <cellStyle name="20% - Accent1 5 2 2 2" xfId="2591"/>
    <cellStyle name="20% - Accent1 5 2 2 2 2" xfId="3676"/>
    <cellStyle name="20% - Accent1 5 2 2 2 2 2" xfId="7085"/>
    <cellStyle name="20% - Accent1 5 2 2 2 3" xfId="6087"/>
    <cellStyle name="20% - Accent1 5 2 2 3" xfId="2316"/>
    <cellStyle name="20% - Accent1 5 2 2 3 2" xfId="3406"/>
    <cellStyle name="20% - Accent1 5 2 2 3 2 2" xfId="6815"/>
    <cellStyle name="20% - Accent1 5 2 2 3 3" xfId="5817"/>
    <cellStyle name="20% - Accent1 5 2 2 4" xfId="1872"/>
    <cellStyle name="20% - Accent1 5 2 2 4 2" xfId="5382"/>
    <cellStyle name="20% - Accent1 5 2 2 5" xfId="2971"/>
    <cellStyle name="20% - Accent1 5 2 2 5 2" xfId="6380"/>
    <cellStyle name="20% - Accent1 5 2 2 6" xfId="5082"/>
    <cellStyle name="20% - Accent1 5 2 3" xfId="2206"/>
    <cellStyle name="20% - Accent1 5 2 3 2" xfId="3296"/>
    <cellStyle name="20% - Accent1 5 2 3 2 2" xfId="6705"/>
    <cellStyle name="20% - Accent1 5 2 3 3" xfId="5707"/>
    <cellStyle name="20% - Accent1 5 2 4" xfId="2481"/>
    <cellStyle name="20% - Accent1 5 2 4 2" xfId="3566"/>
    <cellStyle name="20% - Accent1 5 2 4 2 2" xfId="6975"/>
    <cellStyle name="20% - Accent1 5 2 4 3" xfId="5977"/>
    <cellStyle name="20% - Accent1 5 2 5" xfId="2041"/>
    <cellStyle name="20% - Accent1 5 2 5 2" xfId="3136"/>
    <cellStyle name="20% - Accent1 5 2 5 2 2" xfId="6545"/>
    <cellStyle name="20% - Accent1 5 2 5 3" xfId="5547"/>
    <cellStyle name="20% - Accent1 5 2 6" xfId="1762"/>
    <cellStyle name="20% - Accent1 5 2 6 2" xfId="5272"/>
    <cellStyle name="20% - Accent1 5 2 7" xfId="2861"/>
    <cellStyle name="20% - Accent1 5 2 7 2" xfId="6270"/>
    <cellStyle name="20% - Accent1 5 2 8" xfId="3852"/>
    <cellStyle name="20% - Accent1 5 3" xfId="1344"/>
    <cellStyle name="20% - Accent1 5 3 2" xfId="2161"/>
    <cellStyle name="20% - Accent1 5 3 2 2" xfId="3251"/>
    <cellStyle name="20% - Accent1 5 3 2 2 2" xfId="6660"/>
    <cellStyle name="20% - Accent1 5 3 2 3" xfId="5662"/>
    <cellStyle name="20% - Accent1 5 3 3" xfId="2436"/>
    <cellStyle name="20% - Accent1 5 3 3 2" xfId="3521"/>
    <cellStyle name="20% - Accent1 5 3 3 2 2" xfId="6930"/>
    <cellStyle name="20% - Accent1 5 3 3 3" xfId="5932"/>
    <cellStyle name="20% - Accent1 5 3 4" xfId="1996"/>
    <cellStyle name="20% - Accent1 5 3 4 2" xfId="3091"/>
    <cellStyle name="20% - Accent1 5 3 4 2 2" xfId="6500"/>
    <cellStyle name="20% - Accent1 5 3 4 3" xfId="5502"/>
    <cellStyle name="20% - Accent1 5 3 5" xfId="1717"/>
    <cellStyle name="20% - Accent1 5 3 5 2" xfId="5227"/>
    <cellStyle name="20% - Accent1 5 3 6" xfId="2816"/>
    <cellStyle name="20% - Accent1 5 3 6 2" xfId="6225"/>
    <cellStyle name="20% - Accent1 5 3 7" xfId="3807"/>
    <cellStyle name="20% - Accent1 5 4" xfId="1492"/>
    <cellStyle name="20% - Accent1 5 4 2" xfId="2531"/>
    <cellStyle name="20% - Accent1 5 4 2 2" xfId="3616"/>
    <cellStyle name="20% - Accent1 5 4 2 2 2" xfId="7025"/>
    <cellStyle name="20% - Accent1 5 4 2 3" xfId="6027"/>
    <cellStyle name="20% - Accent1 5 4 3" xfId="2256"/>
    <cellStyle name="20% - Accent1 5 4 3 2" xfId="3346"/>
    <cellStyle name="20% - Accent1 5 4 3 2 2" xfId="6755"/>
    <cellStyle name="20% - Accent1 5 4 3 3" xfId="5757"/>
    <cellStyle name="20% - Accent1 5 4 4" xfId="1812"/>
    <cellStyle name="20% - Accent1 5 4 4 2" xfId="5322"/>
    <cellStyle name="20% - Accent1 5 4 5" xfId="2911"/>
    <cellStyle name="20% - Accent1 5 4 5 2" xfId="6320"/>
    <cellStyle name="20% - Accent1 5 4 6" xfId="5022"/>
    <cellStyle name="20% - Accent1 5 5" xfId="2091"/>
    <cellStyle name="20% - Accent1 5 5 2" xfId="3181"/>
    <cellStyle name="20% - Accent1 5 5 2 2" xfId="6590"/>
    <cellStyle name="20% - Accent1 5 5 3" xfId="5592"/>
    <cellStyle name="20% - Accent1 5 6" xfId="2364"/>
    <cellStyle name="20% - Accent1 5 6 2" xfId="3451"/>
    <cellStyle name="20% - Accent1 5 6 2 2" xfId="6860"/>
    <cellStyle name="20% - Accent1 5 6 3" xfId="5862"/>
    <cellStyle name="20% - Accent1 5 7" xfId="1936"/>
    <cellStyle name="20% - Accent1 5 7 2" xfId="3031"/>
    <cellStyle name="20% - Accent1 5 7 2 2" xfId="6440"/>
    <cellStyle name="20% - Accent1 5 7 3" xfId="5442"/>
    <cellStyle name="20% - Accent1 5 8" xfId="1645"/>
    <cellStyle name="20% - Accent1 5 8 2" xfId="5157"/>
    <cellStyle name="20% - Accent1 5 9" xfId="1593"/>
    <cellStyle name="20% - Accent1 5 9 2" xfId="5112"/>
    <cellStyle name="20% - Accent1 6" xfId="1025"/>
    <cellStyle name="20% - Accent1 6 10" xfId="3732"/>
    <cellStyle name="20% - Accent1 6 2" xfId="1386"/>
    <cellStyle name="20% - Accent1 6 2 2" xfId="1537"/>
    <cellStyle name="20% - Accent1 6 2 2 2" xfId="2576"/>
    <cellStyle name="20% - Accent1 6 2 2 2 2" xfId="3661"/>
    <cellStyle name="20% - Accent1 6 2 2 2 2 2" xfId="7070"/>
    <cellStyle name="20% - Accent1 6 2 2 2 3" xfId="6072"/>
    <cellStyle name="20% - Accent1 6 2 2 3" xfId="2301"/>
    <cellStyle name="20% - Accent1 6 2 2 3 2" xfId="3391"/>
    <cellStyle name="20% - Accent1 6 2 2 3 2 2" xfId="6800"/>
    <cellStyle name="20% - Accent1 6 2 2 3 3" xfId="5802"/>
    <cellStyle name="20% - Accent1 6 2 2 4" xfId="1857"/>
    <cellStyle name="20% - Accent1 6 2 2 4 2" xfId="5367"/>
    <cellStyle name="20% - Accent1 6 2 2 5" xfId="2956"/>
    <cellStyle name="20% - Accent1 6 2 2 5 2" xfId="6365"/>
    <cellStyle name="20% - Accent1 6 2 2 6" xfId="5067"/>
    <cellStyle name="20% - Accent1 6 2 3" xfId="2191"/>
    <cellStyle name="20% - Accent1 6 2 3 2" xfId="3281"/>
    <cellStyle name="20% - Accent1 6 2 3 2 2" xfId="6690"/>
    <cellStyle name="20% - Accent1 6 2 3 3" xfId="5692"/>
    <cellStyle name="20% - Accent1 6 2 4" xfId="2466"/>
    <cellStyle name="20% - Accent1 6 2 4 2" xfId="3551"/>
    <cellStyle name="20% - Accent1 6 2 4 2 2" xfId="6960"/>
    <cellStyle name="20% - Accent1 6 2 4 3" xfId="5962"/>
    <cellStyle name="20% - Accent1 6 2 5" xfId="2026"/>
    <cellStyle name="20% - Accent1 6 2 5 2" xfId="3121"/>
    <cellStyle name="20% - Accent1 6 2 5 2 2" xfId="6530"/>
    <cellStyle name="20% - Accent1 6 2 5 3" xfId="5532"/>
    <cellStyle name="20% - Accent1 6 2 6" xfId="1747"/>
    <cellStyle name="20% - Accent1 6 2 6 2" xfId="5257"/>
    <cellStyle name="20% - Accent1 6 2 7" xfId="2846"/>
    <cellStyle name="20% - Accent1 6 2 7 2" xfId="6255"/>
    <cellStyle name="20% - Accent1 6 2 8" xfId="3837"/>
    <cellStyle name="20% - Accent1 6 3" xfId="1318"/>
    <cellStyle name="20% - Accent1 6 3 2" xfId="2145"/>
    <cellStyle name="20% - Accent1 6 3 2 2" xfId="3235"/>
    <cellStyle name="20% - Accent1 6 3 2 2 2" xfId="6644"/>
    <cellStyle name="20% - Accent1 6 3 2 3" xfId="5646"/>
    <cellStyle name="20% - Accent1 6 3 3" xfId="2420"/>
    <cellStyle name="20% - Accent1 6 3 3 2" xfId="3505"/>
    <cellStyle name="20% - Accent1 6 3 3 2 2" xfId="6914"/>
    <cellStyle name="20% - Accent1 6 3 3 3" xfId="5916"/>
    <cellStyle name="20% - Accent1 6 3 4" xfId="1981"/>
    <cellStyle name="20% - Accent1 6 3 4 2" xfId="3076"/>
    <cellStyle name="20% - Accent1 6 3 4 2 2" xfId="6485"/>
    <cellStyle name="20% - Accent1 6 3 4 3" xfId="5487"/>
    <cellStyle name="20% - Accent1 6 3 5" xfId="1701"/>
    <cellStyle name="20% - Accent1 6 3 5 2" xfId="5211"/>
    <cellStyle name="20% - Accent1 6 3 6" xfId="2800"/>
    <cellStyle name="20% - Accent1 6 3 6 2" xfId="6209"/>
    <cellStyle name="20% - Accent1 6 3 7" xfId="3792"/>
    <cellStyle name="20% - Accent1 6 4" xfId="1477"/>
    <cellStyle name="20% - Accent1 6 4 2" xfId="2516"/>
    <cellStyle name="20% - Accent1 6 4 2 2" xfId="3601"/>
    <cellStyle name="20% - Accent1 6 4 2 2 2" xfId="7010"/>
    <cellStyle name="20% - Accent1 6 4 2 3" xfId="6012"/>
    <cellStyle name="20% - Accent1 6 4 3" xfId="2241"/>
    <cellStyle name="20% - Accent1 6 4 3 2" xfId="3331"/>
    <cellStyle name="20% - Accent1 6 4 3 2 2" xfId="6740"/>
    <cellStyle name="20% - Accent1 6 4 3 3" xfId="5742"/>
    <cellStyle name="20% - Accent1 6 4 4" xfId="1797"/>
    <cellStyle name="20% - Accent1 6 4 4 2" xfId="5307"/>
    <cellStyle name="20% - Accent1 6 4 5" xfId="2896"/>
    <cellStyle name="20% - Accent1 6 4 5 2" xfId="6305"/>
    <cellStyle name="20% - Accent1 6 4 6" xfId="5007"/>
    <cellStyle name="20% - Accent1 6 5" xfId="2075"/>
    <cellStyle name="20% - Accent1 6 5 2" xfId="3166"/>
    <cellStyle name="20% - Accent1 6 5 2 2" xfId="6575"/>
    <cellStyle name="20% - Accent1 6 5 3" xfId="5577"/>
    <cellStyle name="20% - Accent1 6 6" xfId="2349"/>
    <cellStyle name="20% - Accent1 6 6 2" xfId="3436"/>
    <cellStyle name="20% - Accent1 6 6 2 2" xfId="6845"/>
    <cellStyle name="20% - Accent1 6 6 3" xfId="5847"/>
    <cellStyle name="20% - Accent1 6 7" xfId="1921"/>
    <cellStyle name="20% - Accent1 6 7 2" xfId="3016"/>
    <cellStyle name="20% - Accent1 6 7 2 2" xfId="6425"/>
    <cellStyle name="20% - Accent1 6 7 3" xfId="5427"/>
    <cellStyle name="20% - Accent1 6 8" xfId="1630"/>
    <cellStyle name="20% - Accent1 6 8 2" xfId="5142"/>
    <cellStyle name="20% - Accent1 6 9" xfId="2725"/>
    <cellStyle name="20% - Accent1 6 9 2" xfId="6140"/>
    <cellStyle name="20% - Accent1 7" xfId="1293"/>
    <cellStyle name="20% - Accent1 7 2" xfId="1507"/>
    <cellStyle name="20% - Accent1 7 2 2" xfId="2546"/>
    <cellStyle name="20% - Accent1 7 2 2 2" xfId="3631"/>
    <cellStyle name="20% - Accent1 7 2 2 2 2" xfId="7040"/>
    <cellStyle name="20% - Accent1 7 2 2 3" xfId="6042"/>
    <cellStyle name="20% - Accent1 7 2 3" xfId="2271"/>
    <cellStyle name="20% - Accent1 7 2 3 2" xfId="3361"/>
    <cellStyle name="20% - Accent1 7 2 3 2 2" xfId="6770"/>
    <cellStyle name="20% - Accent1 7 2 3 3" xfId="5772"/>
    <cellStyle name="20% - Accent1 7 2 4" xfId="1827"/>
    <cellStyle name="20% - Accent1 7 2 4 2" xfId="5337"/>
    <cellStyle name="20% - Accent1 7 2 5" xfId="2926"/>
    <cellStyle name="20% - Accent1 7 2 5 2" xfId="6335"/>
    <cellStyle name="20% - Accent1 7 2 6" xfId="5037"/>
    <cellStyle name="20% - Accent1 7 3" xfId="2130"/>
    <cellStyle name="20% - Accent1 7 3 2" xfId="3220"/>
    <cellStyle name="20% - Accent1 7 3 2 2" xfId="6629"/>
    <cellStyle name="20% - Accent1 7 3 3" xfId="5631"/>
    <cellStyle name="20% - Accent1 7 4" xfId="2405"/>
    <cellStyle name="20% - Accent1 7 4 2" xfId="3490"/>
    <cellStyle name="20% - Accent1 7 4 2 2" xfId="6899"/>
    <cellStyle name="20% - Accent1 7 4 3" xfId="5901"/>
    <cellStyle name="20% - Accent1 7 5" xfId="1966"/>
    <cellStyle name="20% - Accent1 7 5 2" xfId="3061"/>
    <cellStyle name="20% - Accent1 7 5 2 2" xfId="6470"/>
    <cellStyle name="20% - Accent1 7 5 3" xfId="5472"/>
    <cellStyle name="20% - Accent1 7 6" xfId="1685"/>
    <cellStyle name="20% - Accent1 7 6 2" xfId="5196"/>
    <cellStyle name="20% - Accent1 7 7" xfId="2784"/>
    <cellStyle name="20% - Accent1 7 7 2" xfId="6194"/>
    <cellStyle name="20% - Accent1 7 8" xfId="3777"/>
    <cellStyle name="20% - Accent1 8" xfId="1364"/>
    <cellStyle name="20% - Accent1 8 2" xfId="1522"/>
    <cellStyle name="20% - Accent1 8 2 2" xfId="2561"/>
    <cellStyle name="20% - Accent1 8 2 2 2" xfId="3646"/>
    <cellStyle name="20% - Accent1 8 2 2 2 2" xfId="7055"/>
    <cellStyle name="20% - Accent1 8 2 2 3" xfId="6057"/>
    <cellStyle name="20% - Accent1 8 2 3" xfId="2286"/>
    <cellStyle name="20% - Accent1 8 2 3 2" xfId="3376"/>
    <cellStyle name="20% - Accent1 8 2 3 2 2" xfId="6785"/>
    <cellStyle name="20% - Accent1 8 2 3 3" xfId="5787"/>
    <cellStyle name="20% - Accent1 8 2 4" xfId="1842"/>
    <cellStyle name="20% - Accent1 8 2 4 2" xfId="5352"/>
    <cellStyle name="20% - Accent1 8 2 5" xfId="2941"/>
    <cellStyle name="20% - Accent1 8 2 5 2" xfId="6350"/>
    <cellStyle name="20% - Accent1 8 2 6" xfId="5052"/>
    <cellStyle name="20% - Accent1 8 3" xfId="2176"/>
    <cellStyle name="20% - Accent1 8 3 2" xfId="3266"/>
    <cellStyle name="20% - Accent1 8 3 2 2" xfId="6675"/>
    <cellStyle name="20% - Accent1 8 3 3" xfId="5677"/>
    <cellStyle name="20% - Accent1 8 4" xfId="2451"/>
    <cellStyle name="20% - Accent1 8 4 2" xfId="3536"/>
    <cellStyle name="20% - Accent1 8 4 2 2" xfId="6945"/>
    <cellStyle name="20% - Accent1 8 4 3" xfId="5947"/>
    <cellStyle name="20% - Accent1 8 5" xfId="2011"/>
    <cellStyle name="20% - Accent1 8 5 2" xfId="3106"/>
    <cellStyle name="20% - Accent1 8 5 2 2" xfId="6515"/>
    <cellStyle name="20% - Accent1 8 5 3" xfId="5517"/>
    <cellStyle name="20% - Accent1 8 6" xfId="1732"/>
    <cellStyle name="20% - Accent1 8 6 2" xfId="5242"/>
    <cellStyle name="20% - Accent1 8 7" xfId="2831"/>
    <cellStyle name="20% - Accent1 8 7 2" xfId="6240"/>
    <cellStyle name="20% - Accent1 8 8" xfId="3822"/>
    <cellStyle name="20% - Accent1 9" xfId="1162"/>
    <cellStyle name="20% - Accent1 9 2" xfId="2108"/>
    <cellStyle name="20% - Accent1 9 2 2" xfId="3198"/>
    <cellStyle name="20% - Accent1 9 2 2 2" xfId="6607"/>
    <cellStyle name="20% - Accent1 9 2 3" xfId="5609"/>
    <cellStyle name="20% - Accent1 9 3" xfId="2381"/>
    <cellStyle name="20% - Accent1 9 3 2" xfId="3468"/>
    <cellStyle name="20% - Accent1 9 3 2 2" xfId="6877"/>
    <cellStyle name="20% - Accent1 9 3 3" xfId="5879"/>
    <cellStyle name="20% - Accent1 9 4" xfId="1951"/>
    <cellStyle name="20% - Accent1 9 4 2" xfId="3046"/>
    <cellStyle name="20% - Accent1 9 4 2 2" xfId="6455"/>
    <cellStyle name="20% - Accent1 9 4 3" xfId="5457"/>
    <cellStyle name="20% - Accent1 9 5" xfId="1663"/>
    <cellStyle name="20% - Accent1 9 5 2" xfId="5174"/>
    <cellStyle name="20% - Accent1 9 6" xfId="2761"/>
    <cellStyle name="20% - Accent1 9 6 2" xfId="6172"/>
    <cellStyle name="20% - Accent1 9 7" xfId="3762"/>
    <cellStyle name="20% - Accent2" xfId="151"/>
    <cellStyle name="20% - Accent2 10" xfId="1197"/>
    <cellStyle name="20% - Accent2 10 2" xfId="2124"/>
    <cellStyle name="20% - Accent2 10 2 2" xfId="3214"/>
    <cellStyle name="20% - Accent2 10 2 2 2" xfId="6623"/>
    <cellStyle name="20% - Accent2 10 2 3" xfId="5625"/>
    <cellStyle name="20% - Accent2 10 3" xfId="2397"/>
    <cellStyle name="20% - Accent2 10 3 2" xfId="3484"/>
    <cellStyle name="20% - Accent2 10 3 2 2" xfId="6893"/>
    <cellStyle name="20% - Accent2 10 3 3" xfId="5895"/>
    <cellStyle name="20% - Accent2 10 4" xfId="1908"/>
    <cellStyle name="20% - Accent2 10 4 2" xfId="3003"/>
    <cellStyle name="20% - Accent2 10 4 2 2" xfId="6412"/>
    <cellStyle name="20% - Accent2 10 4 3" xfId="5414"/>
    <cellStyle name="20% - Accent2 10 5" xfId="1679"/>
    <cellStyle name="20% - Accent2 10 5 2" xfId="5190"/>
    <cellStyle name="20% - Accent2 10 6" xfId="2777"/>
    <cellStyle name="20% - Accent2 10 6 2" xfId="6188"/>
    <cellStyle name="20% - Accent2 10 7" xfId="3719"/>
    <cellStyle name="20% - Accent2 11" xfId="1464"/>
    <cellStyle name="20% - Accent2 11 2" xfId="2503"/>
    <cellStyle name="20% - Accent2 11 2 2" xfId="3588"/>
    <cellStyle name="20% - Accent2 11 2 2 2" xfId="6997"/>
    <cellStyle name="20% - Accent2 11 2 3" xfId="5999"/>
    <cellStyle name="20% - Accent2 11 3" xfId="2228"/>
    <cellStyle name="20% - Accent2 11 3 2" xfId="3318"/>
    <cellStyle name="20% - Accent2 11 3 2 2" xfId="6727"/>
    <cellStyle name="20% - Accent2 11 3 3" xfId="5729"/>
    <cellStyle name="20% - Accent2 11 4" xfId="1784"/>
    <cellStyle name="20% - Accent2 11 4 2" xfId="5294"/>
    <cellStyle name="20% - Accent2 11 5" xfId="2883"/>
    <cellStyle name="20% - Accent2 11 5 2" xfId="6292"/>
    <cellStyle name="20% - Accent2 11 6" xfId="4994"/>
    <cellStyle name="20% - Accent2 12" xfId="2061"/>
    <cellStyle name="20% - Accent2 12 2" xfId="3153"/>
    <cellStyle name="20% - Accent2 12 2 2" xfId="6562"/>
    <cellStyle name="20% - Accent2 12 3" xfId="5564"/>
    <cellStyle name="20% - Accent2 13" xfId="2335"/>
    <cellStyle name="20% - Accent2 13 2" xfId="3423"/>
    <cellStyle name="20% - Accent2 13 2 2" xfId="6832"/>
    <cellStyle name="20% - Accent2 13 3" xfId="5834"/>
    <cellStyle name="20% - Accent2 14" xfId="1892"/>
    <cellStyle name="20% - Accent2 14 2" xfId="2988"/>
    <cellStyle name="20% - Accent2 14 2 2" xfId="6397"/>
    <cellStyle name="20% - Accent2 14 3" xfId="5399"/>
    <cellStyle name="20% - Accent2 15" xfId="1616"/>
    <cellStyle name="20% - Accent2 15 2" xfId="2711"/>
    <cellStyle name="20% - Accent2 15 2 2" xfId="6127"/>
    <cellStyle name="20% - Accent2 15 3" xfId="5129"/>
    <cellStyle name="20% - Accent2 16" xfId="1572"/>
    <cellStyle name="20% - Accent2 16 2" xfId="5099"/>
    <cellStyle name="20% - Accent2 17" xfId="2625"/>
    <cellStyle name="20% - Accent2 17 2" xfId="6104"/>
    <cellStyle name="20% - Accent2 18" xfId="3704"/>
    <cellStyle name="20% - Accent2 19" xfId="512"/>
    <cellStyle name="20% - Accent2 2" xfId="362"/>
    <cellStyle name="20% - Accent2 2 2" xfId="560"/>
    <cellStyle name="20% - Accent2 2 2 2" xfId="3999"/>
    <cellStyle name="20% - Accent2 2 2 2 2" xfId="4214"/>
    <cellStyle name="20% - Accent2 2 2 2 2 2" xfId="4332"/>
    <cellStyle name="20% - Accent2 2 2 2 3" xfId="4333"/>
    <cellStyle name="20% - Accent2 2 2 3" xfId="4121"/>
    <cellStyle name="20% - Accent2 2 2 3 2" xfId="4215"/>
    <cellStyle name="20% - Accent2 2 2 3 2 2" xfId="4334"/>
    <cellStyle name="20% - Accent2 2 2 3 3" xfId="4335"/>
    <cellStyle name="20% - Accent2 2 2 4" xfId="4336"/>
    <cellStyle name="20% - Accent2 2 3" xfId="4000"/>
    <cellStyle name="20% - Accent2 2 4" xfId="4337"/>
    <cellStyle name="20% - Accent2 2 5" xfId="3913"/>
    <cellStyle name="20% - Accent2 3" xfId="561"/>
    <cellStyle name="20% - Accent2 4" xfId="562"/>
    <cellStyle name="20% - Accent2 5" xfId="1112"/>
    <cellStyle name="20% - Accent2 5 10" xfId="2745"/>
    <cellStyle name="20% - Accent2 5 10 2" xfId="6157"/>
    <cellStyle name="20% - Accent2 5 11" xfId="3749"/>
    <cellStyle name="20% - Accent2 5 2" xfId="1403"/>
    <cellStyle name="20% - Accent2 5 2 2" xfId="1554"/>
    <cellStyle name="20% - Accent2 5 2 2 2" xfId="2593"/>
    <cellStyle name="20% - Accent2 5 2 2 2 2" xfId="3678"/>
    <cellStyle name="20% - Accent2 5 2 2 2 2 2" xfId="7087"/>
    <cellStyle name="20% - Accent2 5 2 2 2 3" xfId="6089"/>
    <cellStyle name="20% - Accent2 5 2 2 3" xfId="2318"/>
    <cellStyle name="20% - Accent2 5 2 2 3 2" xfId="3408"/>
    <cellStyle name="20% - Accent2 5 2 2 3 2 2" xfId="6817"/>
    <cellStyle name="20% - Accent2 5 2 2 3 3" xfId="5819"/>
    <cellStyle name="20% - Accent2 5 2 2 4" xfId="1874"/>
    <cellStyle name="20% - Accent2 5 2 2 4 2" xfId="5384"/>
    <cellStyle name="20% - Accent2 5 2 2 5" xfId="2973"/>
    <cellStyle name="20% - Accent2 5 2 2 5 2" xfId="6382"/>
    <cellStyle name="20% - Accent2 5 2 2 6" xfId="5084"/>
    <cellStyle name="20% - Accent2 5 2 3" xfId="2208"/>
    <cellStyle name="20% - Accent2 5 2 3 2" xfId="3298"/>
    <cellStyle name="20% - Accent2 5 2 3 2 2" xfId="6707"/>
    <cellStyle name="20% - Accent2 5 2 3 3" xfId="5709"/>
    <cellStyle name="20% - Accent2 5 2 4" xfId="2483"/>
    <cellStyle name="20% - Accent2 5 2 4 2" xfId="3568"/>
    <cellStyle name="20% - Accent2 5 2 4 2 2" xfId="6977"/>
    <cellStyle name="20% - Accent2 5 2 4 3" xfId="5979"/>
    <cellStyle name="20% - Accent2 5 2 5" xfId="2043"/>
    <cellStyle name="20% - Accent2 5 2 5 2" xfId="3138"/>
    <cellStyle name="20% - Accent2 5 2 5 2 2" xfId="6547"/>
    <cellStyle name="20% - Accent2 5 2 5 3" xfId="5549"/>
    <cellStyle name="20% - Accent2 5 2 6" xfId="1764"/>
    <cellStyle name="20% - Accent2 5 2 6 2" xfId="5274"/>
    <cellStyle name="20% - Accent2 5 2 7" xfId="2863"/>
    <cellStyle name="20% - Accent2 5 2 7 2" xfId="6272"/>
    <cellStyle name="20% - Accent2 5 2 8" xfId="3854"/>
    <cellStyle name="20% - Accent2 5 3" xfId="1346"/>
    <cellStyle name="20% - Accent2 5 3 2" xfId="2163"/>
    <cellStyle name="20% - Accent2 5 3 2 2" xfId="3253"/>
    <cellStyle name="20% - Accent2 5 3 2 2 2" xfId="6662"/>
    <cellStyle name="20% - Accent2 5 3 2 3" xfId="5664"/>
    <cellStyle name="20% - Accent2 5 3 3" xfId="2438"/>
    <cellStyle name="20% - Accent2 5 3 3 2" xfId="3523"/>
    <cellStyle name="20% - Accent2 5 3 3 2 2" xfId="6932"/>
    <cellStyle name="20% - Accent2 5 3 3 3" xfId="5934"/>
    <cellStyle name="20% - Accent2 5 3 4" xfId="1998"/>
    <cellStyle name="20% - Accent2 5 3 4 2" xfId="3093"/>
    <cellStyle name="20% - Accent2 5 3 4 2 2" xfId="6502"/>
    <cellStyle name="20% - Accent2 5 3 4 3" xfId="5504"/>
    <cellStyle name="20% - Accent2 5 3 5" xfId="1719"/>
    <cellStyle name="20% - Accent2 5 3 5 2" xfId="5229"/>
    <cellStyle name="20% - Accent2 5 3 6" xfId="2818"/>
    <cellStyle name="20% - Accent2 5 3 6 2" xfId="6227"/>
    <cellStyle name="20% - Accent2 5 3 7" xfId="3809"/>
    <cellStyle name="20% - Accent2 5 4" xfId="1494"/>
    <cellStyle name="20% - Accent2 5 4 2" xfId="2533"/>
    <cellStyle name="20% - Accent2 5 4 2 2" xfId="3618"/>
    <cellStyle name="20% - Accent2 5 4 2 2 2" xfId="7027"/>
    <cellStyle name="20% - Accent2 5 4 2 3" xfId="6029"/>
    <cellStyle name="20% - Accent2 5 4 3" xfId="2258"/>
    <cellStyle name="20% - Accent2 5 4 3 2" xfId="3348"/>
    <cellStyle name="20% - Accent2 5 4 3 2 2" xfId="6757"/>
    <cellStyle name="20% - Accent2 5 4 3 3" xfId="5759"/>
    <cellStyle name="20% - Accent2 5 4 4" xfId="1814"/>
    <cellStyle name="20% - Accent2 5 4 4 2" xfId="5324"/>
    <cellStyle name="20% - Accent2 5 4 5" xfId="2913"/>
    <cellStyle name="20% - Accent2 5 4 5 2" xfId="6322"/>
    <cellStyle name="20% - Accent2 5 4 6" xfId="5024"/>
    <cellStyle name="20% - Accent2 5 5" xfId="2093"/>
    <cellStyle name="20% - Accent2 5 5 2" xfId="3183"/>
    <cellStyle name="20% - Accent2 5 5 2 2" xfId="6592"/>
    <cellStyle name="20% - Accent2 5 5 3" xfId="5594"/>
    <cellStyle name="20% - Accent2 5 6" xfId="2366"/>
    <cellStyle name="20% - Accent2 5 6 2" xfId="3453"/>
    <cellStyle name="20% - Accent2 5 6 2 2" xfId="6862"/>
    <cellStyle name="20% - Accent2 5 6 3" xfId="5864"/>
    <cellStyle name="20% - Accent2 5 7" xfId="1938"/>
    <cellStyle name="20% - Accent2 5 7 2" xfId="3033"/>
    <cellStyle name="20% - Accent2 5 7 2 2" xfId="6442"/>
    <cellStyle name="20% - Accent2 5 7 3" xfId="5444"/>
    <cellStyle name="20% - Accent2 5 8" xfId="1647"/>
    <cellStyle name="20% - Accent2 5 8 2" xfId="5159"/>
    <cellStyle name="20% - Accent2 5 9" xfId="1595"/>
    <cellStyle name="20% - Accent2 5 9 2" xfId="5114"/>
    <cellStyle name="20% - Accent2 6" xfId="1027"/>
    <cellStyle name="20% - Accent2 6 10" xfId="3734"/>
    <cellStyle name="20% - Accent2 6 2" xfId="1388"/>
    <cellStyle name="20% - Accent2 6 2 2" xfId="1539"/>
    <cellStyle name="20% - Accent2 6 2 2 2" xfId="2578"/>
    <cellStyle name="20% - Accent2 6 2 2 2 2" xfId="3663"/>
    <cellStyle name="20% - Accent2 6 2 2 2 2 2" xfId="7072"/>
    <cellStyle name="20% - Accent2 6 2 2 2 3" xfId="6074"/>
    <cellStyle name="20% - Accent2 6 2 2 3" xfId="2303"/>
    <cellStyle name="20% - Accent2 6 2 2 3 2" xfId="3393"/>
    <cellStyle name="20% - Accent2 6 2 2 3 2 2" xfId="6802"/>
    <cellStyle name="20% - Accent2 6 2 2 3 3" xfId="5804"/>
    <cellStyle name="20% - Accent2 6 2 2 4" xfId="1859"/>
    <cellStyle name="20% - Accent2 6 2 2 4 2" xfId="5369"/>
    <cellStyle name="20% - Accent2 6 2 2 5" xfId="2958"/>
    <cellStyle name="20% - Accent2 6 2 2 5 2" xfId="6367"/>
    <cellStyle name="20% - Accent2 6 2 2 6" xfId="5069"/>
    <cellStyle name="20% - Accent2 6 2 3" xfId="2193"/>
    <cellStyle name="20% - Accent2 6 2 3 2" xfId="3283"/>
    <cellStyle name="20% - Accent2 6 2 3 2 2" xfId="6692"/>
    <cellStyle name="20% - Accent2 6 2 3 3" xfId="5694"/>
    <cellStyle name="20% - Accent2 6 2 4" xfId="2468"/>
    <cellStyle name="20% - Accent2 6 2 4 2" xfId="3553"/>
    <cellStyle name="20% - Accent2 6 2 4 2 2" xfId="6962"/>
    <cellStyle name="20% - Accent2 6 2 4 3" xfId="5964"/>
    <cellStyle name="20% - Accent2 6 2 5" xfId="2028"/>
    <cellStyle name="20% - Accent2 6 2 5 2" xfId="3123"/>
    <cellStyle name="20% - Accent2 6 2 5 2 2" xfId="6532"/>
    <cellStyle name="20% - Accent2 6 2 5 3" xfId="5534"/>
    <cellStyle name="20% - Accent2 6 2 6" xfId="1749"/>
    <cellStyle name="20% - Accent2 6 2 6 2" xfId="5259"/>
    <cellStyle name="20% - Accent2 6 2 7" xfId="2848"/>
    <cellStyle name="20% - Accent2 6 2 7 2" xfId="6257"/>
    <cellStyle name="20% - Accent2 6 2 8" xfId="3839"/>
    <cellStyle name="20% - Accent2 6 3" xfId="1320"/>
    <cellStyle name="20% - Accent2 6 3 2" xfId="2147"/>
    <cellStyle name="20% - Accent2 6 3 2 2" xfId="3237"/>
    <cellStyle name="20% - Accent2 6 3 2 2 2" xfId="6646"/>
    <cellStyle name="20% - Accent2 6 3 2 3" xfId="5648"/>
    <cellStyle name="20% - Accent2 6 3 3" xfId="2422"/>
    <cellStyle name="20% - Accent2 6 3 3 2" xfId="3507"/>
    <cellStyle name="20% - Accent2 6 3 3 2 2" xfId="6916"/>
    <cellStyle name="20% - Accent2 6 3 3 3" xfId="5918"/>
    <cellStyle name="20% - Accent2 6 3 4" xfId="1983"/>
    <cellStyle name="20% - Accent2 6 3 4 2" xfId="3078"/>
    <cellStyle name="20% - Accent2 6 3 4 2 2" xfId="6487"/>
    <cellStyle name="20% - Accent2 6 3 4 3" xfId="5489"/>
    <cellStyle name="20% - Accent2 6 3 5" xfId="1703"/>
    <cellStyle name="20% - Accent2 6 3 5 2" xfId="5213"/>
    <cellStyle name="20% - Accent2 6 3 6" xfId="2802"/>
    <cellStyle name="20% - Accent2 6 3 6 2" xfId="6211"/>
    <cellStyle name="20% - Accent2 6 3 7" xfId="3794"/>
    <cellStyle name="20% - Accent2 6 4" xfId="1479"/>
    <cellStyle name="20% - Accent2 6 4 2" xfId="2518"/>
    <cellStyle name="20% - Accent2 6 4 2 2" xfId="3603"/>
    <cellStyle name="20% - Accent2 6 4 2 2 2" xfId="7012"/>
    <cellStyle name="20% - Accent2 6 4 2 3" xfId="6014"/>
    <cellStyle name="20% - Accent2 6 4 3" xfId="2243"/>
    <cellStyle name="20% - Accent2 6 4 3 2" xfId="3333"/>
    <cellStyle name="20% - Accent2 6 4 3 2 2" xfId="6742"/>
    <cellStyle name="20% - Accent2 6 4 3 3" xfId="5744"/>
    <cellStyle name="20% - Accent2 6 4 4" xfId="1799"/>
    <cellStyle name="20% - Accent2 6 4 4 2" xfId="5309"/>
    <cellStyle name="20% - Accent2 6 4 5" xfId="2898"/>
    <cellStyle name="20% - Accent2 6 4 5 2" xfId="6307"/>
    <cellStyle name="20% - Accent2 6 4 6" xfId="5009"/>
    <cellStyle name="20% - Accent2 6 5" xfId="2077"/>
    <cellStyle name="20% - Accent2 6 5 2" xfId="3168"/>
    <cellStyle name="20% - Accent2 6 5 2 2" xfId="6577"/>
    <cellStyle name="20% - Accent2 6 5 3" xfId="5579"/>
    <cellStyle name="20% - Accent2 6 6" xfId="2351"/>
    <cellStyle name="20% - Accent2 6 6 2" xfId="3438"/>
    <cellStyle name="20% - Accent2 6 6 2 2" xfId="6847"/>
    <cellStyle name="20% - Accent2 6 6 3" xfId="5849"/>
    <cellStyle name="20% - Accent2 6 7" xfId="1923"/>
    <cellStyle name="20% - Accent2 6 7 2" xfId="3018"/>
    <cellStyle name="20% - Accent2 6 7 2 2" xfId="6427"/>
    <cellStyle name="20% - Accent2 6 7 3" xfId="5429"/>
    <cellStyle name="20% - Accent2 6 8" xfId="1632"/>
    <cellStyle name="20% - Accent2 6 8 2" xfId="5144"/>
    <cellStyle name="20% - Accent2 6 9" xfId="2727"/>
    <cellStyle name="20% - Accent2 6 9 2" xfId="6142"/>
    <cellStyle name="20% - Accent2 7" xfId="1295"/>
    <cellStyle name="20% - Accent2 7 2" xfId="1509"/>
    <cellStyle name="20% - Accent2 7 2 2" xfId="2548"/>
    <cellStyle name="20% - Accent2 7 2 2 2" xfId="3633"/>
    <cellStyle name="20% - Accent2 7 2 2 2 2" xfId="7042"/>
    <cellStyle name="20% - Accent2 7 2 2 3" xfId="6044"/>
    <cellStyle name="20% - Accent2 7 2 3" xfId="2273"/>
    <cellStyle name="20% - Accent2 7 2 3 2" xfId="3363"/>
    <cellStyle name="20% - Accent2 7 2 3 2 2" xfId="6772"/>
    <cellStyle name="20% - Accent2 7 2 3 3" xfId="5774"/>
    <cellStyle name="20% - Accent2 7 2 4" xfId="1829"/>
    <cellStyle name="20% - Accent2 7 2 4 2" xfId="5339"/>
    <cellStyle name="20% - Accent2 7 2 5" xfId="2928"/>
    <cellStyle name="20% - Accent2 7 2 5 2" xfId="6337"/>
    <cellStyle name="20% - Accent2 7 2 6" xfId="5039"/>
    <cellStyle name="20% - Accent2 7 3" xfId="2132"/>
    <cellStyle name="20% - Accent2 7 3 2" xfId="3222"/>
    <cellStyle name="20% - Accent2 7 3 2 2" xfId="6631"/>
    <cellStyle name="20% - Accent2 7 3 3" xfId="5633"/>
    <cellStyle name="20% - Accent2 7 4" xfId="2407"/>
    <cellStyle name="20% - Accent2 7 4 2" xfId="3492"/>
    <cellStyle name="20% - Accent2 7 4 2 2" xfId="6901"/>
    <cellStyle name="20% - Accent2 7 4 3" xfId="5903"/>
    <cellStyle name="20% - Accent2 7 5" xfId="1968"/>
    <cellStyle name="20% - Accent2 7 5 2" xfId="3063"/>
    <cellStyle name="20% - Accent2 7 5 2 2" xfId="6472"/>
    <cellStyle name="20% - Accent2 7 5 3" xfId="5474"/>
    <cellStyle name="20% - Accent2 7 6" xfId="1687"/>
    <cellStyle name="20% - Accent2 7 6 2" xfId="5198"/>
    <cellStyle name="20% - Accent2 7 7" xfId="2786"/>
    <cellStyle name="20% - Accent2 7 7 2" xfId="6196"/>
    <cellStyle name="20% - Accent2 7 8" xfId="3779"/>
    <cellStyle name="20% - Accent2 8" xfId="1367"/>
    <cellStyle name="20% - Accent2 8 2" xfId="1524"/>
    <cellStyle name="20% - Accent2 8 2 2" xfId="2563"/>
    <cellStyle name="20% - Accent2 8 2 2 2" xfId="3648"/>
    <cellStyle name="20% - Accent2 8 2 2 2 2" xfId="7057"/>
    <cellStyle name="20% - Accent2 8 2 2 3" xfId="6059"/>
    <cellStyle name="20% - Accent2 8 2 3" xfId="2288"/>
    <cellStyle name="20% - Accent2 8 2 3 2" xfId="3378"/>
    <cellStyle name="20% - Accent2 8 2 3 2 2" xfId="6787"/>
    <cellStyle name="20% - Accent2 8 2 3 3" xfId="5789"/>
    <cellStyle name="20% - Accent2 8 2 4" xfId="1844"/>
    <cellStyle name="20% - Accent2 8 2 4 2" xfId="5354"/>
    <cellStyle name="20% - Accent2 8 2 5" xfId="2943"/>
    <cellStyle name="20% - Accent2 8 2 5 2" xfId="6352"/>
    <cellStyle name="20% - Accent2 8 2 6" xfId="5054"/>
    <cellStyle name="20% - Accent2 8 3" xfId="2178"/>
    <cellStyle name="20% - Accent2 8 3 2" xfId="3268"/>
    <cellStyle name="20% - Accent2 8 3 2 2" xfId="6677"/>
    <cellStyle name="20% - Accent2 8 3 3" xfId="5679"/>
    <cellStyle name="20% - Accent2 8 4" xfId="2453"/>
    <cellStyle name="20% - Accent2 8 4 2" xfId="3538"/>
    <cellStyle name="20% - Accent2 8 4 2 2" xfId="6947"/>
    <cellStyle name="20% - Accent2 8 4 3" xfId="5949"/>
    <cellStyle name="20% - Accent2 8 5" xfId="2013"/>
    <cellStyle name="20% - Accent2 8 5 2" xfId="3108"/>
    <cellStyle name="20% - Accent2 8 5 2 2" xfId="6517"/>
    <cellStyle name="20% - Accent2 8 5 3" xfId="5519"/>
    <cellStyle name="20% - Accent2 8 6" xfId="1734"/>
    <cellStyle name="20% - Accent2 8 6 2" xfId="5244"/>
    <cellStyle name="20% - Accent2 8 7" xfId="2833"/>
    <cellStyle name="20% - Accent2 8 7 2" xfId="6242"/>
    <cellStyle name="20% - Accent2 8 8" xfId="3824"/>
    <cellStyle name="20% - Accent2 9" xfId="1165"/>
    <cellStyle name="20% - Accent2 9 2" xfId="2110"/>
    <cellStyle name="20% - Accent2 9 2 2" xfId="3200"/>
    <cellStyle name="20% - Accent2 9 2 2 2" xfId="6609"/>
    <cellStyle name="20% - Accent2 9 2 3" xfId="5611"/>
    <cellStyle name="20% - Accent2 9 3" xfId="2383"/>
    <cellStyle name="20% - Accent2 9 3 2" xfId="3470"/>
    <cellStyle name="20% - Accent2 9 3 2 2" xfId="6879"/>
    <cellStyle name="20% - Accent2 9 3 3" xfId="5881"/>
    <cellStyle name="20% - Accent2 9 4" xfId="1953"/>
    <cellStyle name="20% - Accent2 9 4 2" xfId="3048"/>
    <cellStyle name="20% - Accent2 9 4 2 2" xfId="6457"/>
    <cellStyle name="20% - Accent2 9 4 3" xfId="5459"/>
    <cellStyle name="20% - Accent2 9 5" xfId="1665"/>
    <cellStyle name="20% - Accent2 9 5 2" xfId="5176"/>
    <cellStyle name="20% - Accent2 9 6" xfId="2763"/>
    <cellStyle name="20% - Accent2 9 6 2" xfId="6174"/>
    <cellStyle name="20% - Accent2 9 7" xfId="3764"/>
    <cellStyle name="20% - Accent3" xfId="152"/>
    <cellStyle name="20% - Accent3 10" xfId="1139"/>
    <cellStyle name="20% - Accent3 10 2" xfId="2106"/>
    <cellStyle name="20% - Accent3 10 2 2" xfId="3196"/>
    <cellStyle name="20% - Accent3 10 2 2 2" xfId="6605"/>
    <cellStyle name="20% - Accent3 10 2 3" xfId="5607"/>
    <cellStyle name="20% - Accent3 10 3" xfId="2379"/>
    <cellStyle name="20% - Accent3 10 3 2" xfId="3466"/>
    <cellStyle name="20% - Accent3 10 3 2 2" xfId="6875"/>
    <cellStyle name="20% - Accent3 10 3 3" xfId="5877"/>
    <cellStyle name="20% - Accent3 10 4" xfId="1910"/>
    <cellStyle name="20% - Accent3 10 4 2" xfId="3005"/>
    <cellStyle name="20% - Accent3 10 4 2 2" xfId="6414"/>
    <cellStyle name="20% - Accent3 10 4 3" xfId="5416"/>
    <cellStyle name="20% - Accent3 10 5" xfId="1661"/>
    <cellStyle name="20% - Accent3 10 5 2" xfId="5172"/>
    <cellStyle name="20% - Accent3 10 6" xfId="2759"/>
    <cellStyle name="20% - Accent3 10 6 2" xfId="6170"/>
    <cellStyle name="20% - Accent3 10 7" xfId="3721"/>
    <cellStyle name="20% - Accent3 11" xfId="1466"/>
    <cellStyle name="20% - Accent3 11 2" xfId="2505"/>
    <cellStyle name="20% - Accent3 11 2 2" xfId="3590"/>
    <cellStyle name="20% - Accent3 11 2 2 2" xfId="6999"/>
    <cellStyle name="20% - Accent3 11 2 3" xfId="6001"/>
    <cellStyle name="20% - Accent3 11 3" xfId="2230"/>
    <cellStyle name="20% - Accent3 11 3 2" xfId="3320"/>
    <cellStyle name="20% - Accent3 11 3 2 2" xfId="6729"/>
    <cellStyle name="20% - Accent3 11 3 3" xfId="5731"/>
    <cellStyle name="20% - Accent3 11 4" xfId="1786"/>
    <cellStyle name="20% - Accent3 11 4 2" xfId="5296"/>
    <cellStyle name="20% - Accent3 11 5" xfId="2885"/>
    <cellStyle name="20% - Accent3 11 5 2" xfId="6294"/>
    <cellStyle name="20% - Accent3 11 6" xfId="4996"/>
    <cellStyle name="20% - Accent3 12" xfId="2063"/>
    <cellStyle name="20% - Accent3 12 2" xfId="3155"/>
    <cellStyle name="20% - Accent3 12 2 2" xfId="6564"/>
    <cellStyle name="20% - Accent3 12 3" xfId="5566"/>
    <cellStyle name="20% - Accent3 13" xfId="2337"/>
    <cellStyle name="20% - Accent3 13 2" xfId="3425"/>
    <cellStyle name="20% - Accent3 13 2 2" xfId="6834"/>
    <cellStyle name="20% - Accent3 13 3" xfId="5836"/>
    <cellStyle name="20% - Accent3 14" xfId="1894"/>
    <cellStyle name="20% - Accent3 14 2" xfId="2990"/>
    <cellStyle name="20% - Accent3 14 2 2" xfId="6399"/>
    <cellStyle name="20% - Accent3 14 3" xfId="5401"/>
    <cellStyle name="20% - Accent3 15" xfId="1618"/>
    <cellStyle name="20% - Accent3 15 2" xfId="2713"/>
    <cellStyle name="20% - Accent3 15 2 2" xfId="6129"/>
    <cellStyle name="20% - Accent3 15 3" xfId="5131"/>
    <cellStyle name="20% - Accent3 16" xfId="1575"/>
    <cellStyle name="20% - Accent3 16 2" xfId="5101"/>
    <cellStyle name="20% - Accent3 17" xfId="2627"/>
    <cellStyle name="20% - Accent3 17 2" xfId="6106"/>
    <cellStyle name="20% - Accent3 18" xfId="3706"/>
    <cellStyle name="20% - Accent3 19" xfId="516"/>
    <cellStyle name="20% - Accent3 2" xfId="363"/>
    <cellStyle name="20% - Accent3 2 2" xfId="563"/>
    <cellStyle name="20% - Accent3 2 2 2" xfId="4001"/>
    <cellStyle name="20% - Accent3 2 2 2 2" xfId="4216"/>
    <cellStyle name="20% - Accent3 2 2 2 2 2" xfId="4338"/>
    <cellStyle name="20% - Accent3 2 2 2 3" xfId="4339"/>
    <cellStyle name="20% - Accent3 2 2 3" xfId="4122"/>
    <cellStyle name="20% - Accent3 2 2 3 2" xfId="4217"/>
    <cellStyle name="20% - Accent3 2 2 3 2 2" xfId="4340"/>
    <cellStyle name="20% - Accent3 2 2 3 3" xfId="4341"/>
    <cellStyle name="20% - Accent3 2 2 4" xfId="4342"/>
    <cellStyle name="20% - Accent3 2 3" xfId="4002"/>
    <cellStyle name="20% - Accent3 2 4" xfId="4343"/>
    <cellStyle name="20% - Accent3 2 5" xfId="3914"/>
    <cellStyle name="20% - Accent3 3" xfId="564"/>
    <cellStyle name="20% - Accent3 4" xfId="565"/>
    <cellStyle name="20% - Accent3 5" xfId="1114"/>
    <cellStyle name="20% - Accent3 5 10" xfId="2747"/>
    <cellStyle name="20% - Accent3 5 10 2" xfId="6159"/>
    <cellStyle name="20% - Accent3 5 11" xfId="3751"/>
    <cellStyle name="20% - Accent3 5 2" xfId="1405"/>
    <cellStyle name="20% - Accent3 5 2 2" xfId="1556"/>
    <cellStyle name="20% - Accent3 5 2 2 2" xfId="2595"/>
    <cellStyle name="20% - Accent3 5 2 2 2 2" xfId="3680"/>
    <cellStyle name="20% - Accent3 5 2 2 2 2 2" xfId="7089"/>
    <cellStyle name="20% - Accent3 5 2 2 2 3" xfId="6091"/>
    <cellStyle name="20% - Accent3 5 2 2 3" xfId="2320"/>
    <cellStyle name="20% - Accent3 5 2 2 3 2" xfId="3410"/>
    <cellStyle name="20% - Accent3 5 2 2 3 2 2" xfId="6819"/>
    <cellStyle name="20% - Accent3 5 2 2 3 3" xfId="5821"/>
    <cellStyle name="20% - Accent3 5 2 2 4" xfId="1876"/>
    <cellStyle name="20% - Accent3 5 2 2 4 2" xfId="5386"/>
    <cellStyle name="20% - Accent3 5 2 2 5" xfId="2975"/>
    <cellStyle name="20% - Accent3 5 2 2 5 2" xfId="6384"/>
    <cellStyle name="20% - Accent3 5 2 2 6" xfId="5086"/>
    <cellStyle name="20% - Accent3 5 2 3" xfId="2210"/>
    <cellStyle name="20% - Accent3 5 2 3 2" xfId="3300"/>
    <cellStyle name="20% - Accent3 5 2 3 2 2" xfId="6709"/>
    <cellStyle name="20% - Accent3 5 2 3 3" xfId="5711"/>
    <cellStyle name="20% - Accent3 5 2 4" xfId="2485"/>
    <cellStyle name="20% - Accent3 5 2 4 2" xfId="3570"/>
    <cellStyle name="20% - Accent3 5 2 4 2 2" xfId="6979"/>
    <cellStyle name="20% - Accent3 5 2 4 3" xfId="5981"/>
    <cellStyle name="20% - Accent3 5 2 5" xfId="2045"/>
    <cellStyle name="20% - Accent3 5 2 5 2" xfId="3140"/>
    <cellStyle name="20% - Accent3 5 2 5 2 2" xfId="6549"/>
    <cellStyle name="20% - Accent3 5 2 5 3" xfId="5551"/>
    <cellStyle name="20% - Accent3 5 2 6" xfId="1766"/>
    <cellStyle name="20% - Accent3 5 2 6 2" xfId="5276"/>
    <cellStyle name="20% - Accent3 5 2 7" xfId="2865"/>
    <cellStyle name="20% - Accent3 5 2 7 2" xfId="6274"/>
    <cellStyle name="20% - Accent3 5 2 8" xfId="3856"/>
    <cellStyle name="20% - Accent3 5 3" xfId="1348"/>
    <cellStyle name="20% - Accent3 5 3 2" xfId="2165"/>
    <cellStyle name="20% - Accent3 5 3 2 2" xfId="3255"/>
    <cellStyle name="20% - Accent3 5 3 2 2 2" xfId="6664"/>
    <cellStyle name="20% - Accent3 5 3 2 3" xfId="5666"/>
    <cellStyle name="20% - Accent3 5 3 3" xfId="2440"/>
    <cellStyle name="20% - Accent3 5 3 3 2" xfId="3525"/>
    <cellStyle name="20% - Accent3 5 3 3 2 2" xfId="6934"/>
    <cellStyle name="20% - Accent3 5 3 3 3" xfId="5936"/>
    <cellStyle name="20% - Accent3 5 3 4" xfId="2000"/>
    <cellStyle name="20% - Accent3 5 3 4 2" xfId="3095"/>
    <cellStyle name="20% - Accent3 5 3 4 2 2" xfId="6504"/>
    <cellStyle name="20% - Accent3 5 3 4 3" xfId="5506"/>
    <cellStyle name="20% - Accent3 5 3 5" xfId="1721"/>
    <cellStyle name="20% - Accent3 5 3 5 2" xfId="5231"/>
    <cellStyle name="20% - Accent3 5 3 6" xfId="2820"/>
    <cellStyle name="20% - Accent3 5 3 6 2" xfId="6229"/>
    <cellStyle name="20% - Accent3 5 3 7" xfId="3811"/>
    <cellStyle name="20% - Accent3 5 4" xfId="1496"/>
    <cellStyle name="20% - Accent3 5 4 2" xfId="2535"/>
    <cellStyle name="20% - Accent3 5 4 2 2" xfId="3620"/>
    <cellStyle name="20% - Accent3 5 4 2 2 2" xfId="7029"/>
    <cellStyle name="20% - Accent3 5 4 2 3" xfId="6031"/>
    <cellStyle name="20% - Accent3 5 4 3" xfId="2260"/>
    <cellStyle name="20% - Accent3 5 4 3 2" xfId="3350"/>
    <cellStyle name="20% - Accent3 5 4 3 2 2" xfId="6759"/>
    <cellStyle name="20% - Accent3 5 4 3 3" xfId="5761"/>
    <cellStyle name="20% - Accent3 5 4 4" xfId="1816"/>
    <cellStyle name="20% - Accent3 5 4 4 2" xfId="5326"/>
    <cellStyle name="20% - Accent3 5 4 5" xfId="2915"/>
    <cellStyle name="20% - Accent3 5 4 5 2" xfId="6324"/>
    <cellStyle name="20% - Accent3 5 4 6" xfId="5026"/>
    <cellStyle name="20% - Accent3 5 5" xfId="2095"/>
    <cellStyle name="20% - Accent3 5 5 2" xfId="3185"/>
    <cellStyle name="20% - Accent3 5 5 2 2" xfId="6594"/>
    <cellStyle name="20% - Accent3 5 5 3" xfId="5596"/>
    <cellStyle name="20% - Accent3 5 6" xfId="2368"/>
    <cellStyle name="20% - Accent3 5 6 2" xfId="3455"/>
    <cellStyle name="20% - Accent3 5 6 2 2" xfId="6864"/>
    <cellStyle name="20% - Accent3 5 6 3" xfId="5866"/>
    <cellStyle name="20% - Accent3 5 7" xfId="1940"/>
    <cellStyle name="20% - Accent3 5 7 2" xfId="3035"/>
    <cellStyle name="20% - Accent3 5 7 2 2" xfId="6444"/>
    <cellStyle name="20% - Accent3 5 7 3" xfId="5446"/>
    <cellStyle name="20% - Accent3 5 8" xfId="1649"/>
    <cellStyle name="20% - Accent3 5 8 2" xfId="5161"/>
    <cellStyle name="20% - Accent3 5 9" xfId="1597"/>
    <cellStyle name="20% - Accent3 5 9 2" xfId="5116"/>
    <cellStyle name="20% - Accent3 6" xfId="1029"/>
    <cellStyle name="20% - Accent3 6 10" xfId="3736"/>
    <cellStyle name="20% - Accent3 6 2" xfId="1390"/>
    <cellStyle name="20% - Accent3 6 2 2" xfId="1541"/>
    <cellStyle name="20% - Accent3 6 2 2 2" xfId="2580"/>
    <cellStyle name="20% - Accent3 6 2 2 2 2" xfId="3665"/>
    <cellStyle name="20% - Accent3 6 2 2 2 2 2" xfId="7074"/>
    <cellStyle name="20% - Accent3 6 2 2 2 3" xfId="6076"/>
    <cellStyle name="20% - Accent3 6 2 2 3" xfId="2305"/>
    <cellStyle name="20% - Accent3 6 2 2 3 2" xfId="3395"/>
    <cellStyle name="20% - Accent3 6 2 2 3 2 2" xfId="6804"/>
    <cellStyle name="20% - Accent3 6 2 2 3 3" xfId="5806"/>
    <cellStyle name="20% - Accent3 6 2 2 4" xfId="1861"/>
    <cellStyle name="20% - Accent3 6 2 2 4 2" xfId="5371"/>
    <cellStyle name="20% - Accent3 6 2 2 5" xfId="2960"/>
    <cellStyle name="20% - Accent3 6 2 2 5 2" xfId="6369"/>
    <cellStyle name="20% - Accent3 6 2 2 6" xfId="5071"/>
    <cellStyle name="20% - Accent3 6 2 3" xfId="2195"/>
    <cellStyle name="20% - Accent3 6 2 3 2" xfId="3285"/>
    <cellStyle name="20% - Accent3 6 2 3 2 2" xfId="6694"/>
    <cellStyle name="20% - Accent3 6 2 3 3" xfId="5696"/>
    <cellStyle name="20% - Accent3 6 2 4" xfId="2470"/>
    <cellStyle name="20% - Accent3 6 2 4 2" xfId="3555"/>
    <cellStyle name="20% - Accent3 6 2 4 2 2" xfId="6964"/>
    <cellStyle name="20% - Accent3 6 2 4 3" xfId="5966"/>
    <cellStyle name="20% - Accent3 6 2 5" xfId="2030"/>
    <cellStyle name="20% - Accent3 6 2 5 2" xfId="3125"/>
    <cellStyle name="20% - Accent3 6 2 5 2 2" xfId="6534"/>
    <cellStyle name="20% - Accent3 6 2 5 3" xfId="5536"/>
    <cellStyle name="20% - Accent3 6 2 6" xfId="1751"/>
    <cellStyle name="20% - Accent3 6 2 6 2" xfId="5261"/>
    <cellStyle name="20% - Accent3 6 2 7" xfId="2850"/>
    <cellStyle name="20% - Accent3 6 2 7 2" xfId="6259"/>
    <cellStyle name="20% - Accent3 6 2 8" xfId="3841"/>
    <cellStyle name="20% - Accent3 6 3" xfId="1322"/>
    <cellStyle name="20% - Accent3 6 3 2" xfId="2149"/>
    <cellStyle name="20% - Accent3 6 3 2 2" xfId="3239"/>
    <cellStyle name="20% - Accent3 6 3 2 2 2" xfId="6648"/>
    <cellStyle name="20% - Accent3 6 3 2 3" xfId="5650"/>
    <cellStyle name="20% - Accent3 6 3 3" xfId="2424"/>
    <cellStyle name="20% - Accent3 6 3 3 2" xfId="3509"/>
    <cellStyle name="20% - Accent3 6 3 3 2 2" xfId="6918"/>
    <cellStyle name="20% - Accent3 6 3 3 3" xfId="5920"/>
    <cellStyle name="20% - Accent3 6 3 4" xfId="1985"/>
    <cellStyle name="20% - Accent3 6 3 4 2" xfId="3080"/>
    <cellStyle name="20% - Accent3 6 3 4 2 2" xfId="6489"/>
    <cellStyle name="20% - Accent3 6 3 4 3" xfId="5491"/>
    <cellStyle name="20% - Accent3 6 3 5" xfId="1705"/>
    <cellStyle name="20% - Accent3 6 3 5 2" xfId="5215"/>
    <cellStyle name="20% - Accent3 6 3 6" xfId="2804"/>
    <cellStyle name="20% - Accent3 6 3 6 2" xfId="6213"/>
    <cellStyle name="20% - Accent3 6 3 7" xfId="3796"/>
    <cellStyle name="20% - Accent3 6 4" xfId="1481"/>
    <cellStyle name="20% - Accent3 6 4 2" xfId="2520"/>
    <cellStyle name="20% - Accent3 6 4 2 2" xfId="3605"/>
    <cellStyle name="20% - Accent3 6 4 2 2 2" xfId="7014"/>
    <cellStyle name="20% - Accent3 6 4 2 3" xfId="6016"/>
    <cellStyle name="20% - Accent3 6 4 3" xfId="2245"/>
    <cellStyle name="20% - Accent3 6 4 3 2" xfId="3335"/>
    <cellStyle name="20% - Accent3 6 4 3 2 2" xfId="6744"/>
    <cellStyle name="20% - Accent3 6 4 3 3" xfId="5746"/>
    <cellStyle name="20% - Accent3 6 4 4" xfId="1801"/>
    <cellStyle name="20% - Accent3 6 4 4 2" xfId="5311"/>
    <cellStyle name="20% - Accent3 6 4 5" xfId="2900"/>
    <cellStyle name="20% - Accent3 6 4 5 2" xfId="6309"/>
    <cellStyle name="20% - Accent3 6 4 6" xfId="5011"/>
    <cellStyle name="20% - Accent3 6 5" xfId="2079"/>
    <cellStyle name="20% - Accent3 6 5 2" xfId="3170"/>
    <cellStyle name="20% - Accent3 6 5 2 2" xfId="6579"/>
    <cellStyle name="20% - Accent3 6 5 3" xfId="5581"/>
    <cellStyle name="20% - Accent3 6 6" xfId="2353"/>
    <cellStyle name="20% - Accent3 6 6 2" xfId="3440"/>
    <cellStyle name="20% - Accent3 6 6 2 2" xfId="6849"/>
    <cellStyle name="20% - Accent3 6 6 3" xfId="5851"/>
    <cellStyle name="20% - Accent3 6 7" xfId="1925"/>
    <cellStyle name="20% - Accent3 6 7 2" xfId="3020"/>
    <cellStyle name="20% - Accent3 6 7 2 2" xfId="6429"/>
    <cellStyle name="20% - Accent3 6 7 3" xfId="5431"/>
    <cellStyle name="20% - Accent3 6 8" xfId="1634"/>
    <cellStyle name="20% - Accent3 6 8 2" xfId="5146"/>
    <cellStyle name="20% - Accent3 6 9" xfId="2729"/>
    <cellStyle name="20% - Accent3 6 9 2" xfId="6144"/>
    <cellStyle name="20% - Accent3 7" xfId="1297"/>
    <cellStyle name="20% - Accent3 7 2" xfId="1511"/>
    <cellStyle name="20% - Accent3 7 2 2" xfId="2550"/>
    <cellStyle name="20% - Accent3 7 2 2 2" xfId="3635"/>
    <cellStyle name="20% - Accent3 7 2 2 2 2" xfId="7044"/>
    <cellStyle name="20% - Accent3 7 2 2 3" xfId="6046"/>
    <cellStyle name="20% - Accent3 7 2 3" xfId="2275"/>
    <cellStyle name="20% - Accent3 7 2 3 2" xfId="3365"/>
    <cellStyle name="20% - Accent3 7 2 3 2 2" xfId="6774"/>
    <cellStyle name="20% - Accent3 7 2 3 3" xfId="5776"/>
    <cellStyle name="20% - Accent3 7 2 4" xfId="1831"/>
    <cellStyle name="20% - Accent3 7 2 4 2" xfId="5341"/>
    <cellStyle name="20% - Accent3 7 2 5" xfId="2930"/>
    <cellStyle name="20% - Accent3 7 2 5 2" xfId="6339"/>
    <cellStyle name="20% - Accent3 7 2 6" xfId="5041"/>
    <cellStyle name="20% - Accent3 7 3" xfId="2134"/>
    <cellStyle name="20% - Accent3 7 3 2" xfId="3224"/>
    <cellStyle name="20% - Accent3 7 3 2 2" xfId="6633"/>
    <cellStyle name="20% - Accent3 7 3 3" xfId="5635"/>
    <cellStyle name="20% - Accent3 7 4" xfId="2409"/>
    <cellStyle name="20% - Accent3 7 4 2" xfId="3494"/>
    <cellStyle name="20% - Accent3 7 4 2 2" xfId="6903"/>
    <cellStyle name="20% - Accent3 7 4 3" xfId="5905"/>
    <cellStyle name="20% - Accent3 7 5" xfId="1970"/>
    <cellStyle name="20% - Accent3 7 5 2" xfId="3065"/>
    <cellStyle name="20% - Accent3 7 5 2 2" xfId="6474"/>
    <cellStyle name="20% - Accent3 7 5 3" xfId="5476"/>
    <cellStyle name="20% - Accent3 7 6" xfId="1689"/>
    <cellStyle name="20% - Accent3 7 6 2" xfId="5200"/>
    <cellStyle name="20% - Accent3 7 7" xfId="2788"/>
    <cellStyle name="20% - Accent3 7 7 2" xfId="6198"/>
    <cellStyle name="20% - Accent3 7 8" xfId="3781"/>
    <cellStyle name="20% - Accent3 8" xfId="1369"/>
    <cellStyle name="20% - Accent3 8 2" xfId="1526"/>
    <cellStyle name="20% - Accent3 8 2 2" xfId="2565"/>
    <cellStyle name="20% - Accent3 8 2 2 2" xfId="3650"/>
    <cellStyle name="20% - Accent3 8 2 2 2 2" xfId="7059"/>
    <cellStyle name="20% - Accent3 8 2 2 3" xfId="6061"/>
    <cellStyle name="20% - Accent3 8 2 3" xfId="2290"/>
    <cellStyle name="20% - Accent3 8 2 3 2" xfId="3380"/>
    <cellStyle name="20% - Accent3 8 2 3 2 2" xfId="6789"/>
    <cellStyle name="20% - Accent3 8 2 3 3" xfId="5791"/>
    <cellStyle name="20% - Accent3 8 2 4" xfId="1846"/>
    <cellStyle name="20% - Accent3 8 2 4 2" xfId="5356"/>
    <cellStyle name="20% - Accent3 8 2 5" xfId="2945"/>
    <cellStyle name="20% - Accent3 8 2 5 2" xfId="6354"/>
    <cellStyle name="20% - Accent3 8 2 6" xfId="5056"/>
    <cellStyle name="20% - Accent3 8 3" xfId="2180"/>
    <cellStyle name="20% - Accent3 8 3 2" xfId="3270"/>
    <cellStyle name="20% - Accent3 8 3 2 2" xfId="6679"/>
    <cellStyle name="20% - Accent3 8 3 3" xfId="5681"/>
    <cellStyle name="20% - Accent3 8 4" xfId="2455"/>
    <cellStyle name="20% - Accent3 8 4 2" xfId="3540"/>
    <cellStyle name="20% - Accent3 8 4 2 2" xfId="6949"/>
    <cellStyle name="20% - Accent3 8 4 3" xfId="5951"/>
    <cellStyle name="20% - Accent3 8 5" xfId="2015"/>
    <cellStyle name="20% - Accent3 8 5 2" xfId="3110"/>
    <cellStyle name="20% - Accent3 8 5 2 2" xfId="6519"/>
    <cellStyle name="20% - Accent3 8 5 3" xfId="5521"/>
    <cellStyle name="20% - Accent3 8 6" xfId="1736"/>
    <cellStyle name="20% - Accent3 8 6 2" xfId="5246"/>
    <cellStyle name="20% - Accent3 8 7" xfId="2835"/>
    <cellStyle name="20% - Accent3 8 7 2" xfId="6244"/>
    <cellStyle name="20% - Accent3 8 8" xfId="3826"/>
    <cellStyle name="20% - Accent3 9" xfId="1167"/>
    <cellStyle name="20% - Accent3 9 2" xfId="2112"/>
    <cellStyle name="20% - Accent3 9 2 2" xfId="3202"/>
    <cellStyle name="20% - Accent3 9 2 2 2" xfId="6611"/>
    <cellStyle name="20% - Accent3 9 2 3" xfId="5613"/>
    <cellStyle name="20% - Accent3 9 3" xfId="2385"/>
    <cellStyle name="20% - Accent3 9 3 2" xfId="3472"/>
    <cellStyle name="20% - Accent3 9 3 2 2" xfId="6881"/>
    <cellStyle name="20% - Accent3 9 3 3" xfId="5883"/>
    <cellStyle name="20% - Accent3 9 4" xfId="1955"/>
    <cellStyle name="20% - Accent3 9 4 2" xfId="3050"/>
    <cellStyle name="20% - Accent3 9 4 2 2" xfId="6459"/>
    <cellStyle name="20% - Accent3 9 4 3" xfId="5461"/>
    <cellStyle name="20% - Accent3 9 5" xfId="1667"/>
    <cellStyle name="20% - Accent3 9 5 2" xfId="5178"/>
    <cellStyle name="20% - Accent3 9 6" xfId="2765"/>
    <cellStyle name="20% - Accent3 9 6 2" xfId="6176"/>
    <cellStyle name="20% - Accent3 9 7" xfId="3766"/>
    <cellStyle name="20% - Accent4" xfId="153"/>
    <cellStyle name="20% - Accent4 10" xfId="1439"/>
    <cellStyle name="20% - Accent4 10 2" xfId="2223"/>
    <cellStyle name="20% - Accent4 10 2 2" xfId="3313"/>
    <cellStyle name="20% - Accent4 10 2 2 2" xfId="6722"/>
    <cellStyle name="20% - Accent4 10 2 3" xfId="5724"/>
    <cellStyle name="20% - Accent4 10 3" xfId="2498"/>
    <cellStyle name="20% - Accent4 10 3 2" xfId="3583"/>
    <cellStyle name="20% - Accent4 10 3 2 2" xfId="6992"/>
    <cellStyle name="20% - Accent4 10 3 3" xfId="5994"/>
    <cellStyle name="20% - Accent4 10 4" xfId="1912"/>
    <cellStyle name="20% - Accent4 10 4 2" xfId="3007"/>
    <cellStyle name="20% - Accent4 10 4 2 2" xfId="6416"/>
    <cellStyle name="20% - Accent4 10 4 3" xfId="5418"/>
    <cellStyle name="20% - Accent4 10 5" xfId="1779"/>
    <cellStyle name="20% - Accent4 10 5 2" xfId="5289"/>
    <cellStyle name="20% - Accent4 10 6" xfId="2878"/>
    <cellStyle name="20% - Accent4 10 6 2" xfId="6287"/>
    <cellStyle name="20% - Accent4 10 7" xfId="3723"/>
    <cellStyle name="20% - Accent4 11" xfId="1468"/>
    <cellStyle name="20% - Accent4 11 2" xfId="2507"/>
    <cellStyle name="20% - Accent4 11 2 2" xfId="3592"/>
    <cellStyle name="20% - Accent4 11 2 2 2" xfId="7001"/>
    <cellStyle name="20% - Accent4 11 2 3" xfId="6003"/>
    <cellStyle name="20% - Accent4 11 3" xfId="2232"/>
    <cellStyle name="20% - Accent4 11 3 2" xfId="3322"/>
    <cellStyle name="20% - Accent4 11 3 2 2" xfId="6731"/>
    <cellStyle name="20% - Accent4 11 3 3" xfId="5733"/>
    <cellStyle name="20% - Accent4 11 4" xfId="1788"/>
    <cellStyle name="20% - Accent4 11 4 2" xfId="5298"/>
    <cellStyle name="20% - Accent4 11 5" xfId="2887"/>
    <cellStyle name="20% - Accent4 11 5 2" xfId="6296"/>
    <cellStyle name="20% - Accent4 11 6" xfId="4998"/>
    <cellStyle name="20% - Accent4 12" xfId="2065"/>
    <cellStyle name="20% - Accent4 12 2" xfId="3157"/>
    <cellStyle name="20% - Accent4 12 2 2" xfId="6566"/>
    <cellStyle name="20% - Accent4 12 3" xfId="5568"/>
    <cellStyle name="20% - Accent4 13" xfId="2339"/>
    <cellStyle name="20% - Accent4 13 2" xfId="3427"/>
    <cellStyle name="20% - Accent4 13 2 2" xfId="6836"/>
    <cellStyle name="20% - Accent4 13 3" xfId="5838"/>
    <cellStyle name="20% - Accent4 14" xfId="1896"/>
    <cellStyle name="20% - Accent4 14 2" xfId="2992"/>
    <cellStyle name="20% - Accent4 14 2 2" xfId="6401"/>
    <cellStyle name="20% - Accent4 14 3" xfId="5403"/>
    <cellStyle name="20% - Accent4 15" xfId="1620"/>
    <cellStyle name="20% - Accent4 15 2" xfId="2715"/>
    <cellStyle name="20% - Accent4 15 2 2" xfId="6131"/>
    <cellStyle name="20% - Accent4 15 3" xfId="5133"/>
    <cellStyle name="20% - Accent4 16" xfId="1577"/>
    <cellStyle name="20% - Accent4 16 2" xfId="5103"/>
    <cellStyle name="20% - Accent4 17" xfId="2629"/>
    <cellStyle name="20% - Accent4 17 2" xfId="6108"/>
    <cellStyle name="20% - Accent4 18" xfId="3708"/>
    <cellStyle name="20% - Accent4 19" xfId="520"/>
    <cellStyle name="20% - Accent4 2" xfId="364"/>
    <cellStyle name="20% - Accent4 2 2" xfId="566"/>
    <cellStyle name="20% - Accent4 2 2 2" xfId="4003"/>
    <cellStyle name="20% - Accent4 2 2 2 2" xfId="4218"/>
    <cellStyle name="20% - Accent4 2 2 2 2 2" xfId="4344"/>
    <cellStyle name="20% - Accent4 2 2 2 3" xfId="4345"/>
    <cellStyle name="20% - Accent4 2 2 3" xfId="4123"/>
    <cellStyle name="20% - Accent4 2 2 3 2" xfId="4219"/>
    <cellStyle name="20% - Accent4 2 2 3 2 2" xfId="4346"/>
    <cellStyle name="20% - Accent4 2 2 3 3" xfId="4347"/>
    <cellStyle name="20% - Accent4 2 2 4" xfId="4348"/>
    <cellStyle name="20% - Accent4 2 3" xfId="4004"/>
    <cellStyle name="20% - Accent4 2 4" xfId="4349"/>
    <cellStyle name="20% - Accent4 2 5" xfId="3916"/>
    <cellStyle name="20% - Accent4 3" xfId="567"/>
    <cellStyle name="20% - Accent4 4" xfId="568"/>
    <cellStyle name="20% - Accent4 5" xfId="1116"/>
    <cellStyle name="20% - Accent4 5 10" xfId="2749"/>
    <cellStyle name="20% - Accent4 5 10 2" xfId="6161"/>
    <cellStyle name="20% - Accent4 5 11" xfId="3753"/>
    <cellStyle name="20% - Accent4 5 2" xfId="1407"/>
    <cellStyle name="20% - Accent4 5 2 2" xfId="1558"/>
    <cellStyle name="20% - Accent4 5 2 2 2" xfId="2597"/>
    <cellStyle name="20% - Accent4 5 2 2 2 2" xfId="3682"/>
    <cellStyle name="20% - Accent4 5 2 2 2 2 2" xfId="7091"/>
    <cellStyle name="20% - Accent4 5 2 2 2 3" xfId="6093"/>
    <cellStyle name="20% - Accent4 5 2 2 3" xfId="2322"/>
    <cellStyle name="20% - Accent4 5 2 2 3 2" xfId="3412"/>
    <cellStyle name="20% - Accent4 5 2 2 3 2 2" xfId="6821"/>
    <cellStyle name="20% - Accent4 5 2 2 3 3" xfId="5823"/>
    <cellStyle name="20% - Accent4 5 2 2 4" xfId="1878"/>
    <cellStyle name="20% - Accent4 5 2 2 4 2" xfId="5388"/>
    <cellStyle name="20% - Accent4 5 2 2 5" xfId="2977"/>
    <cellStyle name="20% - Accent4 5 2 2 5 2" xfId="6386"/>
    <cellStyle name="20% - Accent4 5 2 2 6" xfId="5088"/>
    <cellStyle name="20% - Accent4 5 2 3" xfId="2212"/>
    <cellStyle name="20% - Accent4 5 2 3 2" xfId="3302"/>
    <cellStyle name="20% - Accent4 5 2 3 2 2" xfId="6711"/>
    <cellStyle name="20% - Accent4 5 2 3 3" xfId="5713"/>
    <cellStyle name="20% - Accent4 5 2 4" xfId="2487"/>
    <cellStyle name="20% - Accent4 5 2 4 2" xfId="3572"/>
    <cellStyle name="20% - Accent4 5 2 4 2 2" xfId="6981"/>
    <cellStyle name="20% - Accent4 5 2 4 3" xfId="5983"/>
    <cellStyle name="20% - Accent4 5 2 5" xfId="2047"/>
    <cellStyle name="20% - Accent4 5 2 5 2" xfId="3142"/>
    <cellStyle name="20% - Accent4 5 2 5 2 2" xfId="6551"/>
    <cellStyle name="20% - Accent4 5 2 5 3" xfId="5553"/>
    <cellStyle name="20% - Accent4 5 2 6" xfId="1768"/>
    <cellStyle name="20% - Accent4 5 2 6 2" xfId="5278"/>
    <cellStyle name="20% - Accent4 5 2 7" xfId="2867"/>
    <cellStyle name="20% - Accent4 5 2 7 2" xfId="6276"/>
    <cellStyle name="20% - Accent4 5 2 8" xfId="3858"/>
    <cellStyle name="20% - Accent4 5 3" xfId="1350"/>
    <cellStyle name="20% - Accent4 5 3 2" xfId="2167"/>
    <cellStyle name="20% - Accent4 5 3 2 2" xfId="3257"/>
    <cellStyle name="20% - Accent4 5 3 2 2 2" xfId="6666"/>
    <cellStyle name="20% - Accent4 5 3 2 3" xfId="5668"/>
    <cellStyle name="20% - Accent4 5 3 3" xfId="2442"/>
    <cellStyle name="20% - Accent4 5 3 3 2" xfId="3527"/>
    <cellStyle name="20% - Accent4 5 3 3 2 2" xfId="6936"/>
    <cellStyle name="20% - Accent4 5 3 3 3" xfId="5938"/>
    <cellStyle name="20% - Accent4 5 3 4" xfId="2002"/>
    <cellStyle name="20% - Accent4 5 3 4 2" xfId="3097"/>
    <cellStyle name="20% - Accent4 5 3 4 2 2" xfId="6506"/>
    <cellStyle name="20% - Accent4 5 3 4 3" xfId="5508"/>
    <cellStyle name="20% - Accent4 5 3 5" xfId="1723"/>
    <cellStyle name="20% - Accent4 5 3 5 2" xfId="5233"/>
    <cellStyle name="20% - Accent4 5 3 6" xfId="2822"/>
    <cellStyle name="20% - Accent4 5 3 6 2" xfId="6231"/>
    <cellStyle name="20% - Accent4 5 3 7" xfId="3813"/>
    <cellStyle name="20% - Accent4 5 4" xfId="1498"/>
    <cellStyle name="20% - Accent4 5 4 2" xfId="2537"/>
    <cellStyle name="20% - Accent4 5 4 2 2" xfId="3622"/>
    <cellStyle name="20% - Accent4 5 4 2 2 2" xfId="7031"/>
    <cellStyle name="20% - Accent4 5 4 2 3" xfId="6033"/>
    <cellStyle name="20% - Accent4 5 4 3" xfId="2262"/>
    <cellStyle name="20% - Accent4 5 4 3 2" xfId="3352"/>
    <cellStyle name="20% - Accent4 5 4 3 2 2" xfId="6761"/>
    <cellStyle name="20% - Accent4 5 4 3 3" xfId="5763"/>
    <cellStyle name="20% - Accent4 5 4 4" xfId="1818"/>
    <cellStyle name="20% - Accent4 5 4 4 2" xfId="5328"/>
    <cellStyle name="20% - Accent4 5 4 5" xfId="2917"/>
    <cellStyle name="20% - Accent4 5 4 5 2" xfId="6326"/>
    <cellStyle name="20% - Accent4 5 4 6" xfId="5028"/>
    <cellStyle name="20% - Accent4 5 5" xfId="2097"/>
    <cellStyle name="20% - Accent4 5 5 2" xfId="3187"/>
    <cellStyle name="20% - Accent4 5 5 2 2" xfId="6596"/>
    <cellStyle name="20% - Accent4 5 5 3" xfId="5598"/>
    <cellStyle name="20% - Accent4 5 6" xfId="2370"/>
    <cellStyle name="20% - Accent4 5 6 2" xfId="3457"/>
    <cellStyle name="20% - Accent4 5 6 2 2" xfId="6866"/>
    <cellStyle name="20% - Accent4 5 6 3" xfId="5868"/>
    <cellStyle name="20% - Accent4 5 7" xfId="1942"/>
    <cellStyle name="20% - Accent4 5 7 2" xfId="3037"/>
    <cellStyle name="20% - Accent4 5 7 2 2" xfId="6446"/>
    <cellStyle name="20% - Accent4 5 7 3" xfId="5448"/>
    <cellStyle name="20% - Accent4 5 8" xfId="1651"/>
    <cellStyle name="20% - Accent4 5 8 2" xfId="5163"/>
    <cellStyle name="20% - Accent4 5 9" xfId="1599"/>
    <cellStyle name="20% - Accent4 5 9 2" xfId="5118"/>
    <cellStyle name="20% - Accent4 6" xfId="1031"/>
    <cellStyle name="20% - Accent4 6 10" xfId="3738"/>
    <cellStyle name="20% - Accent4 6 2" xfId="1392"/>
    <cellStyle name="20% - Accent4 6 2 2" xfId="1543"/>
    <cellStyle name="20% - Accent4 6 2 2 2" xfId="2582"/>
    <cellStyle name="20% - Accent4 6 2 2 2 2" xfId="3667"/>
    <cellStyle name="20% - Accent4 6 2 2 2 2 2" xfId="7076"/>
    <cellStyle name="20% - Accent4 6 2 2 2 3" xfId="6078"/>
    <cellStyle name="20% - Accent4 6 2 2 3" xfId="2307"/>
    <cellStyle name="20% - Accent4 6 2 2 3 2" xfId="3397"/>
    <cellStyle name="20% - Accent4 6 2 2 3 2 2" xfId="6806"/>
    <cellStyle name="20% - Accent4 6 2 2 3 3" xfId="5808"/>
    <cellStyle name="20% - Accent4 6 2 2 4" xfId="1863"/>
    <cellStyle name="20% - Accent4 6 2 2 4 2" xfId="5373"/>
    <cellStyle name="20% - Accent4 6 2 2 5" xfId="2962"/>
    <cellStyle name="20% - Accent4 6 2 2 5 2" xfId="6371"/>
    <cellStyle name="20% - Accent4 6 2 2 6" xfId="5073"/>
    <cellStyle name="20% - Accent4 6 2 3" xfId="2197"/>
    <cellStyle name="20% - Accent4 6 2 3 2" xfId="3287"/>
    <cellStyle name="20% - Accent4 6 2 3 2 2" xfId="6696"/>
    <cellStyle name="20% - Accent4 6 2 3 3" xfId="5698"/>
    <cellStyle name="20% - Accent4 6 2 4" xfId="2472"/>
    <cellStyle name="20% - Accent4 6 2 4 2" xfId="3557"/>
    <cellStyle name="20% - Accent4 6 2 4 2 2" xfId="6966"/>
    <cellStyle name="20% - Accent4 6 2 4 3" xfId="5968"/>
    <cellStyle name="20% - Accent4 6 2 5" xfId="2032"/>
    <cellStyle name="20% - Accent4 6 2 5 2" xfId="3127"/>
    <cellStyle name="20% - Accent4 6 2 5 2 2" xfId="6536"/>
    <cellStyle name="20% - Accent4 6 2 5 3" xfId="5538"/>
    <cellStyle name="20% - Accent4 6 2 6" xfId="1753"/>
    <cellStyle name="20% - Accent4 6 2 6 2" xfId="5263"/>
    <cellStyle name="20% - Accent4 6 2 7" xfId="2852"/>
    <cellStyle name="20% - Accent4 6 2 7 2" xfId="6261"/>
    <cellStyle name="20% - Accent4 6 2 8" xfId="3843"/>
    <cellStyle name="20% - Accent4 6 3" xfId="1324"/>
    <cellStyle name="20% - Accent4 6 3 2" xfId="2151"/>
    <cellStyle name="20% - Accent4 6 3 2 2" xfId="3241"/>
    <cellStyle name="20% - Accent4 6 3 2 2 2" xfId="6650"/>
    <cellStyle name="20% - Accent4 6 3 2 3" xfId="5652"/>
    <cellStyle name="20% - Accent4 6 3 3" xfId="2426"/>
    <cellStyle name="20% - Accent4 6 3 3 2" xfId="3511"/>
    <cellStyle name="20% - Accent4 6 3 3 2 2" xfId="6920"/>
    <cellStyle name="20% - Accent4 6 3 3 3" xfId="5922"/>
    <cellStyle name="20% - Accent4 6 3 4" xfId="1987"/>
    <cellStyle name="20% - Accent4 6 3 4 2" xfId="3082"/>
    <cellStyle name="20% - Accent4 6 3 4 2 2" xfId="6491"/>
    <cellStyle name="20% - Accent4 6 3 4 3" xfId="5493"/>
    <cellStyle name="20% - Accent4 6 3 5" xfId="1707"/>
    <cellStyle name="20% - Accent4 6 3 5 2" xfId="5217"/>
    <cellStyle name="20% - Accent4 6 3 6" xfId="2806"/>
    <cellStyle name="20% - Accent4 6 3 6 2" xfId="6215"/>
    <cellStyle name="20% - Accent4 6 3 7" xfId="3798"/>
    <cellStyle name="20% - Accent4 6 4" xfId="1483"/>
    <cellStyle name="20% - Accent4 6 4 2" xfId="2522"/>
    <cellStyle name="20% - Accent4 6 4 2 2" xfId="3607"/>
    <cellStyle name="20% - Accent4 6 4 2 2 2" xfId="7016"/>
    <cellStyle name="20% - Accent4 6 4 2 3" xfId="6018"/>
    <cellStyle name="20% - Accent4 6 4 3" xfId="2247"/>
    <cellStyle name="20% - Accent4 6 4 3 2" xfId="3337"/>
    <cellStyle name="20% - Accent4 6 4 3 2 2" xfId="6746"/>
    <cellStyle name="20% - Accent4 6 4 3 3" xfId="5748"/>
    <cellStyle name="20% - Accent4 6 4 4" xfId="1803"/>
    <cellStyle name="20% - Accent4 6 4 4 2" xfId="5313"/>
    <cellStyle name="20% - Accent4 6 4 5" xfId="2902"/>
    <cellStyle name="20% - Accent4 6 4 5 2" xfId="6311"/>
    <cellStyle name="20% - Accent4 6 4 6" xfId="5013"/>
    <cellStyle name="20% - Accent4 6 5" xfId="2081"/>
    <cellStyle name="20% - Accent4 6 5 2" xfId="3172"/>
    <cellStyle name="20% - Accent4 6 5 2 2" xfId="6581"/>
    <cellStyle name="20% - Accent4 6 5 3" xfId="5583"/>
    <cellStyle name="20% - Accent4 6 6" xfId="2355"/>
    <cellStyle name="20% - Accent4 6 6 2" xfId="3442"/>
    <cellStyle name="20% - Accent4 6 6 2 2" xfId="6851"/>
    <cellStyle name="20% - Accent4 6 6 3" xfId="5853"/>
    <cellStyle name="20% - Accent4 6 7" xfId="1927"/>
    <cellStyle name="20% - Accent4 6 7 2" xfId="3022"/>
    <cellStyle name="20% - Accent4 6 7 2 2" xfId="6431"/>
    <cellStyle name="20% - Accent4 6 7 3" xfId="5433"/>
    <cellStyle name="20% - Accent4 6 8" xfId="1636"/>
    <cellStyle name="20% - Accent4 6 8 2" xfId="5148"/>
    <cellStyle name="20% - Accent4 6 9" xfId="2731"/>
    <cellStyle name="20% - Accent4 6 9 2" xfId="6146"/>
    <cellStyle name="20% - Accent4 7" xfId="1299"/>
    <cellStyle name="20% - Accent4 7 2" xfId="1513"/>
    <cellStyle name="20% - Accent4 7 2 2" xfId="2552"/>
    <cellStyle name="20% - Accent4 7 2 2 2" xfId="3637"/>
    <cellStyle name="20% - Accent4 7 2 2 2 2" xfId="7046"/>
    <cellStyle name="20% - Accent4 7 2 2 3" xfId="6048"/>
    <cellStyle name="20% - Accent4 7 2 3" xfId="2277"/>
    <cellStyle name="20% - Accent4 7 2 3 2" xfId="3367"/>
    <cellStyle name="20% - Accent4 7 2 3 2 2" xfId="6776"/>
    <cellStyle name="20% - Accent4 7 2 3 3" xfId="5778"/>
    <cellStyle name="20% - Accent4 7 2 4" xfId="1833"/>
    <cellStyle name="20% - Accent4 7 2 4 2" xfId="5343"/>
    <cellStyle name="20% - Accent4 7 2 5" xfId="2932"/>
    <cellStyle name="20% - Accent4 7 2 5 2" xfId="6341"/>
    <cellStyle name="20% - Accent4 7 2 6" xfId="5043"/>
    <cellStyle name="20% - Accent4 7 3" xfId="2136"/>
    <cellStyle name="20% - Accent4 7 3 2" xfId="3226"/>
    <cellStyle name="20% - Accent4 7 3 2 2" xfId="6635"/>
    <cellStyle name="20% - Accent4 7 3 3" xfId="5637"/>
    <cellStyle name="20% - Accent4 7 4" xfId="2411"/>
    <cellStyle name="20% - Accent4 7 4 2" xfId="3496"/>
    <cellStyle name="20% - Accent4 7 4 2 2" xfId="6905"/>
    <cellStyle name="20% - Accent4 7 4 3" xfId="5907"/>
    <cellStyle name="20% - Accent4 7 5" xfId="1972"/>
    <cellStyle name="20% - Accent4 7 5 2" xfId="3067"/>
    <cellStyle name="20% - Accent4 7 5 2 2" xfId="6476"/>
    <cellStyle name="20% - Accent4 7 5 3" xfId="5478"/>
    <cellStyle name="20% - Accent4 7 6" xfId="1691"/>
    <cellStyle name="20% - Accent4 7 6 2" xfId="5202"/>
    <cellStyle name="20% - Accent4 7 7" xfId="2790"/>
    <cellStyle name="20% - Accent4 7 7 2" xfId="6200"/>
    <cellStyle name="20% - Accent4 7 8" xfId="3783"/>
    <cellStyle name="20% - Accent4 8" xfId="1371"/>
    <cellStyle name="20% - Accent4 8 2" xfId="1528"/>
    <cellStyle name="20% - Accent4 8 2 2" xfId="2567"/>
    <cellStyle name="20% - Accent4 8 2 2 2" xfId="3652"/>
    <cellStyle name="20% - Accent4 8 2 2 2 2" xfId="7061"/>
    <cellStyle name="20% - Accent4 8 2 2 3" xfId="6063"/>
    <cellStyle name="20% - Accent4 8 2 3" xfId="2292"/>
    <cellStyle name="20% - Accent4 8 2 3 2" xfId="3382"/>
    <cellStyle name="20% - Accent4 8 2 3 2 2" xfId="6791"/>
    <cellStyle name="20% - Accent4 8 2 3 3" xfId="5793"/>
    <cellStyle name="20% - Accent4 8 2 4" xfId="1848"/>
    <cellStyle name="20% - Accent4 8 2 4 2" xfId="5358"/>
    <cellStyle name="20% - Accent4 8 2 5" xfId="2947"/>
    <cellStyle name="20% - Accent4 8 2 5 2" xfId="6356"/>
    <cellStyle name="20% - Accent4 8 2 6" xfId="5058"/>
    <cellStyle name="20% - Accent4 8 3" xfId="2182"/>
    <cellStyle name="20% - Accent4 8 3 2" xfId="3272"/>
    <cellStyle name="20% - Accent4 8 3 2 2" xfId="6681"/>
    <cellStyle name="20% - Accent4 8 3 3" xfId="5683"/>
    <cellStyle name="20% - Accent4 8 4" xfId="2457"/>
    <cellStyle name="20% - Accent4 8 4 2" xfId="3542"/>
    <cellStyle name="20% - Accent4 8 4 2 2" xfId="6951"/>
    <cellStyle name="20% - Accent4 8 4 3" xfId="5953"/>
    <cellStyle name="20% - Accent4 8 5" xfId="2017"/>
    <cellStyle name="20% - Accent4 8 5 2" xfId="3112"/>
    <cellStyle name="20% - Accent4 8 5 2 2" xfId="6521"/>
    <cellStyle name="20% - Accent4 8 5 3" xfId="5523"/>
    <cellStyle name="20% - Accent4 8 6" xfId="1738"/>
    <cellStyle name="20% - Accent4 8 6 2" xfId="5248"/>
    <cellStyle name="20% - Accent4 8 7" xfId="2837"/>
    <cellStyle name="20% - Accent4 8 7 2" xfId="6246"/>
    <cellStyle name="20% - Accent4 8 8" xfId="3828"/>
    <cellStyle name="20% - Accent4 9" xfId="1169"/>
    <cellStyle name="20% - Accent4 9 2" xfId="2114"/>
    <cellStyle name="20% - Accent4 9 2 2" xfId="3204"/>
    <cellStyle name="20% - Accent4 9 2 2 2" xfId="6613"/>
    <cellStyle name="20% - Accent4 9 2 3" xfId="5615"/>
    <cellStyle name="20% - Accent4 9 3" xfId="2387"/>
    <cellStyle name="20% - Accent4 9 3 2" xfId="3474"/>
    <cellStyle name="20% - Accent4 9 3 2 2" xfId="6883"/>
    <cellStyle name="20% - Accent4 9 3 3" xfId="5885"/>
    <cellStyle name="20% - Accent4 9 4" xfId="1957"/>
    <cellStyle name="20% - Accent4 9 4 2" xfId="3052"/>
    <cellStyle name="20% - Accent4 9 4 2 2" xfId="6461"/>
    <cellStyle name="20% - Accent4 9 4 3" xfId="5463"/>
    <cellStyle name="20% - Accent4 9 5" xfId="1669"/>
    <cellStyle name="20% - Accent4 9 5 2" xfId="5180"/>
    <cellStyle name="20% - Accent4 9 6" xfId="2767"/>
    <cellStyle name="20% - Accent4 9 6 2" xfId="6178"/>
    <cellStyle name="20% - Accent4 9 7" xfId="3768"/>
    <cellStyle name="20% - Accent5" xfId="154"/>
    <cellStyle name="20% - Accent5 10" xfId="1176"/>
    <cellStyle name="20% - Accent5 10 2" xfId="2121"/>
    <cellStyle name="20% - Accent5 10 2 2" xfId="3211"/>
    <cellStyle name="20% - Accent5 10 2 2 2" xfId="6620"/>
    <cellStyle name="20% - Accent5 10 2 3" xfId="5622"/>
    <cellStyle name="20% - Accent5 10 3" xfId="2394"/>
    <cellStyle name="20% - Accent5 10 3 2" xfId="3481"/>
    <cellStyle name="20% - Accent5 10 3 2 2" xfId="6890"/>
    <cellStyle name="20% - Accent5 10 3 3" xfId="5892"/>
    <cellStyle name="20% - Accent5 10 4" xfId="1914"/>
    <cellStyle name="20% - Accent5 10 4 2" xfId="3009"/>
    <cellStyle name="20% - Accent5 10 4 2 2" xfId="6418"/>
    <cellStyle name="20% - Accent5 10 4 3" xfId="5420"/>
    <cellStyle name="20% - Accent5 10 5" xfId="1676"/>
    <cellStyle name="20% - Accent5 10 5 2" xfId="5187"/>
    <cellStyle name="20% - Accent5 10 6" xfId="2774"/>
    <cellStyle name="20% - Accent5 10 6 2" xfId="6185"/>
    <cellStyle name="20% - Accent5 10 7" xfId="3725"/>
    <cellStyle name="20% - Accent5 11" xfId="1470"/>
    <cellStyle name="20% - Accent5 11 2" xfId="2509"/>
    <cellStyle name="20% - Accent5 11 2 2" xfId="3594"/>
    <cellStyle name="20% - Accent5 11 2 2 2" xfId="7003"/>
    <cellStyle name="20% - Accent5 11 2 3" xfId="6005"/>
    <cellStyle name="20% - Accent5 11 3" xfId="2234"/>
    <cellStyle name="20% - Accent5 11 3 2" xfId="3324"/>
    <cellStyle name="20% - Accent5 11 3 2 2" xfId="6733"/>
    <cellStyle name="20% - Accent5 11 3 3" xfId="5735"/>
    <cellStyle name="20% - Accent5 11 4" xfId="1790"/>
    <cellStyle name="20% - Accent5 11 4 2" xfId="5300"/>
    <cellStyle name="20% - Accent5 11 5" xfId="2889"/>
    <cellStyle name="20% - Accent5 11 5 2" xfId="6298"/>
    <cellStyle name="20% - Accent5 11 6" xfId="5000"/>
    <cellStyle name="20% - Accent5 12" xfId="2067"/>
    <cellStyle name="20% - Accent5 12 2" xfId="3159"/>
    <cellStyle name="20% - Accent5 12 2 2" xfId="6568"/>
    <cellStyle name="20% - Accent5 12 3" xfId="5570"/>
    <cellStyle name="20% - Accent5 13" xfId="2341"/>
    <cellStyle name="20% - Accent5 13 2" xfId="3429"/>
    <cellStyle name="20% - Accent5 13 2 2" xfId="6838"/>
    <cellStyle name="20% - Accent5 13 3" xfId="5840"/>
    <cellStyle name="20% - Accent5 14" xfId="1898"/>
    <cellStyle name="20% - Accent5 14 2" xfId="2994"/>
    <cellStyle name="20% - Accent5 14 2 2" xfId="6403"/>
    <cellStyle name="20% - Accent5 14 3" xfId="5405"/>
    <cellStyle name="20% - Accent5 15" xfId="1622"/>
    <cellStyle name="20% - Accent5 15 2" xfId="2717"/>
    <cellStyle name="20% - Accent5 15 2 2" xfId="6133"/>
    <cellStyle name="20% - Accent5 15 3" xfId="5135"/>
    <cellStyle name="20% - Accent5 16" xfId="1579"/>
    <cellStyle name="20% - Accent5 16 2" xfId="5105"/>
    <cellStyle name="20% - Accent5 17" xfId="2631"/>
    <cellStyle name="20% - Accent5 17 2" xfId="6110"/>
    <cellStyle name="20% - Accent5 18" xfId="3710"/>
    <cellStyle name="20% - Accent5 19" xfId="524"/>
    <cellStyle name="20% - Accent5 2" xfId="365"/>
    <cellStyle name="20% - Accent5 2 2" xfId="569"/>
    <cellStyle name="20% - Accent5 2 2 2" xfId="4005"/>
    <cellStyle name="20% - Accent5 2 2 2 2" xfId="4220"/>
    <cellStyle name="20% - Accent5 2 2 2 2 2" xfId="4350"/>
    <cellStyle name="20% - Accent5 2 2 2 3" xfId="4351"/>
    <cellStyle name="20% - Accent5 2 2 3" xfId="4124"/>
    <cellStyle name="20% - Accent5 2 2 3 2" xfId="4221"/>
    <cellStyle name="20% - Accent5 2 2 3 2 2" xfId="4352"/>
    <cellStyle name="20% - Accent5 2 2 3 3" xfId="4353"/>
    <cellStyle name="20% - Accent5 2 2 4" xfId="4354"/>
    <cellStyle name="20% - Accent5 2 3" xfId="4006"/>
    <cellStyle name="20% - Accent5 2 4" xfId="4355"/>
    <cellStyle name="20% - Accent5 2 5" xfId="3917"/>
    <cellStyle name="20% - Accent5 3" xfId="570"/>
    <cellStyle name="20% - Accent5 4" xfId="571"/>
    <cellStyle name="20% - Accent5 5" xfId="1118"/>
    <cellStyle name="20% - Accent5 5 10" xfId="2751"/>
    <cellStyle name="20% - Accent5 5 10 2" xfId="6163"/>
    <cellStyle name="20% - Accent5 5 11" xfId="3755"/>
    <cellStyle name="20% - Accent5 5 2" xfId="1409"/>
    <cellStyle name="20% - Accent5 5 2 2" xfId="1560"/>
    <cellStyle name="20% - Accent5 5 2 2 2" xfId="2599"/>
    <cellStyle name="20% - Accent5 5 2 2 2 2" xfId="3684"/>
    <cellStyle name="20% - Accent5 5 2 2 2 2 2" xfId="7093"/>
    <cellStyle name="20% - Accent5 5 2 2 2 3" xfId="6095"/>
    <cellStyle name="20% - Accent5 5 2 2 3" xfId="2324"/>
    <cellStyle name="20% - Accent5 5 2 2 3 2" xfId="3414"/>
    <cellStyle name="20% - Accent5 5 2 2 3 2 2" xfId="6823"/>
    <cellStyle name="20% - Accent5 5 2 2 3 3" xfId="5825"/>
    <cellStyle name="20% - Accent5 5 2 2 4" xfId="1880"/>
    <cellStyle name="20% - Accent5 5 2 2 4 2" xfId="5390"/>
    <cellStyle name="20% - Accent5 5 2 2 5" xfId="2979"/>
    <cellStyle name="20% - Accent5 5 2 2 5 2" xfId="6388"/>
    <cellStyle name="20% - Accent5 5 2 2 6" xfId="5090"/>
    <cellStyle name="20% - Accent5 5 2 3" xfId="2214"/>
    <cellStyle name="20% - Accent5 5 2 3 2" xfId="3304"/>
    <cellStyle name="20% - Accent5 5 2 3 2 2" xfId="6713"/>
    <cellStyle name="20% - Accent5 5 2 3 3" xfId="5715"/>
    <cellStyle name="20% - Accent5 5 2 4" xfId="2489"/>
    <cellStyle name="20% - Accent5 5 2 4 2" xfId="3574"/>
    <cellStyle name="20% - Accent5 5 2 4 2 2" xfId="6983"/>
    <cellStyle name="20% - Accent5 5 2 4 3" xfId="5985"/>
    <cellStyle name="20% - Accent5 5 2 5" xfId="2049"/>
    <cellStyle name="20% - Accent5 5 2 5 2" xfId="3144"/>
    <cellStyle name="20% - Accent5 5 2 5 2 2" xfId="6553"/>
    <cellStyle name="20% - Accent5 5 2 5 3" xfId="5555"/>
    <cellStyle name="20% - Accent5 5 2 6" xfId="1770"/>
    <cellStyle name="20% - Accent5 5 2 6 2" xfId="5280"/>
    <cellStyle name="20% - Accent5 5 2 7" xfId="2869"/>
    <cellStyle name="20% - Accent5 5 2 7 2" xfId="6278"/>
    <cellStyle name="20% - Accent5 5 2 8" xfId="3860"/>
    <cellStyle name="20% - Accent5 5 3" xfId="1352"/>
    <cellStyle name="20% - Accent5 5 3 2" xfId="2169"/>
    <cellStyle name="20% - Accent5 5 3 2 2" xfId="3259"/>
    <cellStyle name="20% - Accent5 5 3 2 2 2" xfId="6668"/>
    <cellStyle name="20% - Accent5 5 3 2 3" xfId="5670"/>
    <cellStyle name="20% - Accent5 5 3 3" xfId="2444"/>
    <cellStyle name="20% - Accent5 5 3 3 2" xfId="3529"/>
    <cellStyle name="20% - Accent5 5 3 3 2 2" xfId="6938"/>
    <cellStyle name="20% - Accent5 5 3 3 3" xfId="5940"/>
    <cellStyle name="20% - Accent5 5 3 4" xfId="2004"/>
    <cellStyle name="20% - Accent5 5 3 4 2" xfId="3099"/>
    <cellStyle name="20% - Accent5 5 3 4 2 2" xfId="6508"/>
    <cellStyle name="20% - Accent5 5 3 4 3" xfId="5510"/>
    <cellStyle name="20% - Accent5 5 3 5" xfId="1725"/>
    <cellStyle name="20% - Accent5 5 3 5 2" xfId="5235"/>
    <cellStyle name="20% - Accent5 5 3 6" xfId="2824"/>
    <cellStyle name="20% - Accent5 5 3 6 2" xfId="6233"/>
    <cellStyle name="20% - Accent5 5 3 7" xfId="3815"/>
    <cellStyle name="20% - Accent5 5 4" xfId="1500"/>
    <cellStyle name="20% - Accent5 5 4 2" xfId="2539"/>
    <cellStyle name="20% - Accent5 5 4 2 2" xfId="3624"/>
    <cellStyle name="20% - Accent5 5 4 2 2 2" xfId="7033"/>
    <cellStyle name="20% - Accent5 5 4 2 3" xfId="6035"/>
    <cellStyle name="20% - Accent5 5 4 3" xfId="2264"/>
    <cellStyle name="20% - Accent5 5 4 3 2" xfId="3354"/>
    <cellStyle name="20% - Accent5 5 4 3 2 2" xfId="6763"/>
    <cellStyle name="20% - Accent5 5 4 3 3" xfId="5765"/>
    <cellStyle name="20% - Accent5 5 4 4" xfId="1820"/>
    <cellStyle name="20% - Accent5 5 4 4 2" xfId="5330"/>
    <cellStyle name="20% - Accent5 5 4 5" xfId="2919"/>
    <cellStyle name="20% - Accent5 5 4 5 2" xfId="6328"/>
    <cellStyle name="20% - Accent5 5 4 6" xfId="5030"/>
    <cellStyle name="20% - Accent5 5 5" xfId="2099"/>
    <cellStyle name="20% - Accent5 5 5 2" xfId="3189"/>
    <cellStyle name="20% - Accent5 5 5 2 2" xfId="6598"/>
    <cellStyle name="20% - Accent5 5 5 3" xfId="5600"/>
    <cellStyle name="20% - Accent5 5 6" xfId="2372"/>
    <cellStyle name="20% - Accent5 5 6 2" xfId="3459"/>
    <cellStyle name="20% - Accent5 5 6 2 2" xfId="6868"/>
    <cellStyle name="20% - Accent5 5 6 3" xfId="5870"/>
    <cellStyle name="20% - Accent5 5 7" xfId="1944"/>
    <cellStyle name="20% - Accent5 5 7 2" xfId="3039"/>
    <cellStyle name="20% - Accent5 5 7 2 2" xfId="6448"/>
    <cellStyle name="20% - Accent5 5 7 3" xfId="5450"/>
    <cellStyle name="20% - Accent5 5 8" xfId="1653"/>
    <cellStyle name="20% - Accent5 5 8 2" xfId="5165"/>
    <cellStyle name="20% - Accent5 5 9" xfId="1601"/>
    <cellStyle name="20% - Accent5 5 9 2" xfId="5120"/>
    <cellStyle name="20% - Accent5 6" xfId="1033"/>
    <cellStyle name="20% - Accent5 6 10" xfId="3740"/>
    <cellStyle name="20% - Accent5 6 2" xfId="1394"/>
    <cellStyle name="20% - Accent5 6 2 2" xfId="1545"/>
    <cellStyle name="20% - Accent5 6 2 2 2" xfId="2584"/>
    <cellStyle name="20% - Accent5 6 2 2 2 2" xfId="3669"/>
    <cellStyle name="20% - Accent5 6 2 2 2 2 2" xfId="7078"/>
    <cellStyle name="20% - Accent5 6 2 2 2 3" xfId="6080"/>
    <cellStyle name="20% - Accent5 6 2 2 3" xfId="2309"/>
    <cellStyle name="20% - Accent5 6 2 2 3 2" xfId="3399"/>
    <cellStyle name="20% - Accent5 6 2 2 3 2 2" xfId="6808"/>
    <cellStyle name="20% - Accent5 6 2 2 3 3" xfId="5810"/>
    <cellStyle name="20% - Accent5 6 2 2 4" xfId="1865"/>
    <cellStyle name="20% - Accent5 6 2 2 4 2" xfId="5375"/>
    <cellStyle name="20% - Accent5 6 2 2 5" xfId="2964"/>
    <cellStyle name="20% - Accent5 6 2 2 5 2" xfId="6373"/>
    <cellStyle name="20% - Accent5 6 2 2 6" xfId="5075"/>
    <cellStyle name="20% - Accent5 6 2 3" xfId="2199"/>
    <cellStyle name="20% - Accent5 6 2 3 2" xfId="3289"/>
    <cellStyle name="20% - Accent5 6 2 3 2 2" xfId="6698"/>
    <cellStyle name="20% - Accent5 6 2 3 3" xfId="5700"/>
    <cellStyle name="20% - Accent5 6 2 4" xfId="2474"/>
    <cellStyle name="20% - Accent5 6 2 4 2" xfId="3559"/>
    <cellStyle name="20% - Accent5 6 2 4 2 2" xfId="6968"/>
    <cellStyle name="20% - Accent5 6 2 4 3" xfId="5970"/>
    <cellStyle name="20% - Accent5 6 2 5" xfId="2034"/>
    <cellStyle name="20% - Accent5 6 2 5 2" xfId="3129"/>
    <cellStyle name="20% - Accent5 6 2 5 2 2" xfId="6538"/>
    <cellStyle name="20% - Accent5 6 2 5 3" xfId="5540"/>
    <cellStyle name="20% - Accent5 6 2 6" xfId="1755"/>
    <cellStyle name="20% - Accent5 6 2 6 2" xfId="5265"/>
    <cellStyle name="20% - Accent5 6 2 7" xfId="2854"/>
    <cellStyle name="20% - Accent5 6 2 7 2" xfId="6263"/>
    <cellStyle name="20% - Accent5 6 2 8" xfId="3845"/>
    <cellStyle name="20% - Accent5 6 3" xfId="1326"/>
    <cellStyle name="20% - Accent5 6 3 2" xfId="2153"/>
    <cellStyle name="20% - Accent5 6 3 2 2" xfId="3243"/>
    <cellStyle name="20% - Accent5 6 3 2 2 2" xfId="6652"/>
    <cellStyle name="20% - Accent5 6 3 2 3" xfId="5654"/>
    <cellStyle name="20% - Accent5 6 3 3" xfId="2428"/>
    <cellStyle name="20% - Accent5 6 3 3 2" xfId="3513"/>
    <cellStyle name="20% - Accent5 6 3 3 2 2" xfId="6922"/>
    <cellStyle name="20% - Accent5 6 3 3 3" xfId="5924"/>
    <cellStyle name="20% - Accent5 6 3 4" xfId="1989"/>
    <cellStyle name="20% - Accent5 6 3 4 2" xfId="3084"/>
    <cellStyle name="20% - Accent5 6 3 4 2 2" xfId="6493"/>
    <cellStyle name="20% - Accent5 6 3 4 3" xfId="5495"/>
    <cellStyle name="20% - Accent5 6 3 5" xfId="1709"/>
    <cellStyle name="20% - Accent5 6 3 5 2" xfId="5219"/>
    <cellStyle name="20% - Accent5 6 3 6" xfId="2808"/>
    <cellStyle name="20% - Accent5 6 3 6 2" xfId="6217"/>
    <cellStyle name="20% - Accent5 6 3 7" xfId="3800"/>
    <cellStyle name="20% - Accent5 6 4" xfId="1485"/>
    <cellStyle name="20% - Accent5 6 4 2" xfId="2524"/>
    <cellStyle name="20% - Accent5 6 4 2 2" xfId="3609"/>
    <cellStyle name="20% - Accent5 6 4 2 2 2" xfId="7018"/>
    <cellStyle name="20% - Accent5 6 4 2 3" xfId="6020"/>
    <cellStyle name="20% - Accent5 6 4 3" xfId="2249"/>
    <cellStyle name="20% - Accent5 6 4 3 2" xfId="3339"/>
    <cellStyle name="20% - Accent5 6 4 3 2 2" xfId="6748"/>
    <cellStyle name="20% - Accent5 6 4 3 3" xfId="5750"/>
    <cellStyle name="20% - Accent5 6 4 4" xfId="1805"/>
    <cellStyle name="20% - Accent5 6 4 4 2" xfId="5315"/>
    <cellStyle name="20% - Accent5 6 4 5" xfId="2904"/>
    <cellStyle name="20% - Accent5 6 4 5 2" xfId="6313"/>
    <cellStyle name="20% - Accent5 6 4 6" xfId="5015"/>
    <cellStyle name="20% - Accent5 6 5" xfId="2083"/>
    <cellStyle name="20% - Accent5 6 5 2" xfId="3174"/>
    <cellStyle name="20% - Accent5 6 5 2 2" xfId="6583"/>
    <cellStyle name="20% - Accent5 6 5 3" xfId="5585"/>
    <cellStyle name="20% - Accent5 6 6" xfId="2357"/>
    <cellStyle name="20% - Accent5 6 6 2" xfId="3444"/>
    <cellStyle name="20% - Accent5 6 6 2 2" xfId="6853"/>
    <cellStyle name="20% - Accent5 6 6 3" xfId="5855"/>
    <cellStyle name="20% - Accent5 6 7" xfId="1929"/>
    <cellStyle name="20% - Accent5 6 7 2" xfId="3024"/>
    <cellStyle name="20% - Accent5 6 7 2 2" xfId="6433"/>
    <cellStyle name="20% - Accent5 6 7 3" xfId="5435"/>
    <cellStyle name="20% - Accent5 6 8" xfId="1638"/>
    <cellStyle name="20% - Accent5 6 8 2" xfId="5150"/>
    <cellStyle name="20% - Accent5 6 9" xfId="2733"/>
    <cellStyle name="20% - Accent5 6 9 2" xfId="6148"/>
    <cellStyle name="20% - Accent5 7" xfId="1301"/>
    <cellStyle name="20% - Accent5 7 2" xfId="1515"/>
    <cellStyle name="20% - Accent5 7 2 2" xfId="2554"/>
    <cellStyle name="20% - Accent5 7 2 2 2" xfId="3639"/>
    <cellStyle name="20% - Accent5 7 2 2 2 2" xfId="7048"/>
    <cellStyle name="20% - Accent5 7 2 2 3" xfId="6050"/>
    <cellStyle name="20% - Accent5 7 2 3" xfId="2279"/>
    <cellStyle name="20% - Accent5 7 2 3 2" xfId="3369"/>
    <cellStyle name="20% - Accent5 7 2 3 2 2" xfId="6778"/>
    <cellStyle name="20% - Accent5 7 2 3 3" xfId="5780"/>
    <cellStyle name="20% - Accent5 7 2 4" xfId="1835"/>
    <cellStyle name="20% - Accent5 7 2 4 2" xfId="5345"/>
    <cellStyle name="20% - Accent5 7 2 5" xfId="2934"/>
    <cellStyle name="20% - Accent5 7 2 5 2" xfId="6343"/>
    <cellStyle name="20% - Accent5 7 2 6" xfId="5045"/>
    <cellStyle name="20% - Accent5 7 3" xfId="2138"/>
    <cellStyle name="20% - Accent5 7 3 2" xfId="3228"/>
    <cellStyle name="20% - Accent5 7 3 2 2" xfId="6637"/>
    <cellStyle name="20% - Accent5 7 3 3" xfId="5639"/>
    <cellStyle name="20% - Accent5 7 4" xfId="2413"/>
    <cellStyle name="20% - Accent5 7 4 2" xfId="3498"/>
    <cellStyle name="20% - Accent5 7 4 2 2" xfId="6907"/>
    <cellStyle name="20% - Accent5 7 4 3" xfId="5909"/>
    <cellStyle name="20% - Accent5 7 5" xfId="1974"/>
    <cellStyle name="20% - Accent5 7 5 2" xfId="3069"/>
    <cellStyle name="20% - Accent5 7 5 2 2" xfId="6478"/>
    <cellStyle name="20% - Accent5 7 5 3" xfId="5480"/>
    <cellStyle name="20% - Accent5 7 6" xfId="1693"/>
    <cellStyle name="20% - Accent5 7 6 2" xfId="5204"/>
    <cellStyle name="20% - Accent5 7 7" xfId="2792"/>
    <cellStyle name="20% - Accent5 7 7 2" xfId="6202"/>
    <cellStyle name="20% - Accent5 7 8" xfId="3785"/>
    <cellStyle name="20% - Accent5 8" xfId="1373"/>
    <cellStyle name="20% - Accent5 8 2" xfId="1530"/>
    <cellStyle name="20% - Accent5 8 2 2" xfId="2569"/>
    <cellStyle name="20% - Accent5 8 2 2 2" xfId="3654"/>
    <cellStyle name="20% - Accent5 8 2 2 2 2" xfId="7063"/>
    <cellStyle name="20% - Accent5 8 2 2 3" xfId="6065"/>
    <cellStyle name="20% - Accent5 8 2 3" xfId="2294"/>
    <cellStyle name="20% - Accent5 8 2 3 2" xfId="3384"/>
    <cellStyle name="20% - Accent5 8 2 3 2 2" xfId="6793"/>
    <cellStyle name="20% - Accent5 8 2 3 3" xfId="5795"/>
    <cellStyle name="20% - Accent5 8 2 4" xfId="1850"/>
    <cellStyle name="20% - Accent5 8 2 4 2" xfId="5360"/>
    <cellStyle name="20% - Accent5 8 2 5" xfId="2949"/>
    <cellStyle name="20% - Accent5 8 2 5 2" xfId="6358"/>
    <cellStyle name="20% - Accent5 8 2 6" xfId="5060"/>
    <cellStyle name="20% - Accent5 8 3" xfId="2184"/>
    <cellStyle name="20% - Accent5 8 3 2" xfId="3274"/>
    <cellStyle name="20% - Accent5 8 3 2 2" xfId="6683"/>
    <cellStyle name="20% - Accent5 8 3 3" xfId="5685"/>
    <cellStyle name="20% - Accent5 8 4" xfId="2459"/>
    <cellStyle name="20% - Accent5 8 4 2" xfId="3544"/>
    <cellStyle name="20% - Accent5 8 4 2 2" xfId="6953"/>
    <cellStyle name="20% - Accent5 8 4 3" xfId="5955"/>
    <cellStyle name="20% - Accent5 8 5" xfId="2019"/>
    <cellStyle name="20% - Accent5 8 5 2" xfId="3114"/>
    <cellStyle name="20% - Accent5 8 5 2 2" xfId="6523"/>
    <cellStyle name="20% - Accent5 8 5 3" xfId="5525"/>
    <cellStyle name="20% - Accent5 8 6" xfId="1740"/>
    <cellStyle name="20% - Accent5 8 6 2" xfId="5250"/>
    <cellStyle name="20% - Accent5 8 7" xfId="2839"/>
    <cellStyle name="20% - Accent5 8 7 2" xfId="6248"/>
    <cellStyle name="20% - Accent5 8 8" xfId="3830"/>
    <cellStyle name="20% - Accent5 9" xfId="1171"/>
    <cellStyle name="20% - Accent5 9 2" xfId="2116"/>
    <cellStyle name="20% - Accent5 9 2 2" xfId="3206"/>
    <cellStyle name="20% - Accent5 9 2 2 2" xfId="6615"/>
    <cellStyle name="20% - Accent5 9 2 3" xfId="5617"/>
    <cellStyle name="20% - Accent5 9 3" xfId="2389"/>
    <cellStyle name="20% - Accent5 9 3 2" xfId="3476"/>
    <cellStyle name="20% - Accent5 9 3 2 2" xfId="6885"/>
    <cellStyle name="20% - Accent5 9 3 3" xfId="5887"/>
    <cellStyle name="20% - Accent5 9 4" xfId="1959"/>
    <cellStyle name="20% - Accent5 9 4 2" xfId="3054"/>
    <cellStyle name="20% - Accent5 9 4 2 2" xfId="6463"/>
    <cellStyle name="20% - Accent5 9 4 3" xfId="5465"/>
    <cellStyle name="20% - Accent5 9 5" xfId="1671"/>
    <cellStyle name="20% - Accent5 9 5 2" xfId="5182"/>
    <cellStyle name="20% - Accent5 9 6" xfId="2769"/>
    <cellStyle name="20% - Accent5 9 6 2" xfId="6180"/>
    <cellStyle name="20% - Accent5 9 7" xfId="3770"/>
    <cellStyle name="20% - Accent6" xfId="155"/>
    <cellStyle name="20% - Accent6 10" xfId="1445"/>
    <cellStyle name="20% - Accent6 10 2" xfId="2224"/>
    <cellStyle name="20% - Accent6 10 2 2" xfId="3314"/>
    <cellStyle name="20% - Accent6 10 2 2 2" xfId="6723"/>
    <cellStyle name="20% - Accent6 10 2 3" xfId="5725"/>
    <cellStyle name="20% - Accent6 10 3" xfId="2499"/>
    <cellStyle name="20% - Accent6 10 3 2" xfId="3584"/>
    <cellStyle name="20% - Accent6 10 3 2 2" xfId="6993"/>
    <cellStyle name="20% - Accent6 10 3 3" xfId="5995"/>
    <cellStyle name="20% - Accent6 10 4" xfId="1916"/>
    <cellStyle name="20% - Accent6 10 4 2" xfId="3011"/>
    <cellStyle name="20% - Accent6 10 4 2 2" xfId="6420"/>
    <cellStyle name="20% - Accent6 10 4 3" xfId="5422"/>
    <cellStyle name="20% - Accent6 10 5" xfId="1780"/>
    <cellStyle name="20% - Accent6 10 5 2" xfId="5290"/>
    <cellStyle name="20% - Accent6 10 6" xfId="2879"/>
    <cellStyle name="20% - Accent6 10 6 2" xfId="6288"/>
    <cellStyle name="20% - Accent6 10 7" xfId="3727"/>
    <cellStyle name="20% - Accent6 11" xfId="1472"/>
    <cellStyle name="20% - Accent6 11 2" xfId="2511"/>
    <cellStyle name="20% - Accent6 11 2 2" xfId="3596"/>
    <cellStyle name="20% - Accent6 11 2 2 2" xfId="7005"/>
    <cellStyle name="20% - Accent6 11 2 3" xfId="6007"/>
    <cellStyle name="20% - Accent6 11 3" xfId="2236"/>
    <cellStyle name="20% - Accent6 11 3 2" xfId="3326"/>
    <cellStyle name="20% - Accent6 11 3 2 2" xfId="6735"/>
    <cellStyle name="20% - Accent6 11 3 3" xfId="5737"/>
    <cellStyle name="20% - Accent6 11 4" xfId="1792"/>
    <cellStyle name="20% - Accent6 11 4 2" xfId="5302"/>
    <cellStyle name="20% - Accent6 11 5" xfId="2891"/>
    <cellStyle name="20% - Accent6 11 5 2" xfId="6300"/>
    <cellStyle name="20% - Accent6 11 6" xfId="5002"/>
    <cellStyle name="20% - Accent6 12" xfId="2069"/>
    <cellStyle name="20% - Accent6 12 2" xfId="3161"/>
    <cellStyle name="20% - Accent6 12 2 2" xfId="6570"/>
    <cellStyle name="20% - Accent6 12 3" xfId="5572"/>
    <cellStyle name="20% - Accent6 13" xfId="2343"/>
    <cellStyle name="20% - Accent6 13 2" xfId="3431"/>
    <cellStyle name="20% - Accent6 13 2 2" xfId="6840"/>
    <cellStyle name="20% - Accent6 13 3" xfId="5842"/>
    <cellStyle name="20% - Accent6 14" xfId="1900"/>
    <cellStyle name="20% - Accent6 14 2" xfId="2996"/>
    <cellStyle name="20% - Accent6 14 2 2" xfId="6405"/>
    <cellStyle name="20% - Accent6 14 3" xfId="5407"/>
    <cellStyle name="20% - Accent6 15" xfId="1624"/>
    <cellStyle name="20% - Accent6 15 2" xfId="2719"/>
    <cellStyle name="20% - Accent6 15 2 2" xfId="6135"/>
    <cellStyle name="20% - Accent6 15 3" xfId="5137"/>
    <cellStyle name="20% - Accent6 16" xfId="1581"/>
    <cellStyle name="20% - Accent6 16 2" xfId="5107"/>
    <cellStyle name="20% - Accent6 17" xfId="2633"/>
    <cellStyle name="20% - Accent6 17 2" xfId="6112"/>
    <cellStyle name="20% - Accent6 18" xfId="3712"/>
    <cellStyle name="20% - Accent6 19" xfId="528"/>
    <cellStyle name="20% - Accent6 2" xfId="366"/>
    <cellStyle name="20% - Accent6 2 2" xfId="572"/>
    <cellStyle name="20% - Accent6 2 2 2" xfId="4007"/>
    <cellStyle name="20% - Accent6 2 2 2 2" xfId="4222"/>
    <cellStyle name="20% - Accent6 2 2 2 2 2" xfId="4356"/>
    <cellStyle name="20% - Accent6 2 2 2 3" xfId="4357"/>
    <cellStyle name="20% - Accent6 2 2 3" xfId="4125"/>
    <cellStyle name="20% - Accent6 2 2 3 2" xfId="4223"/>
    <cellStyle name="20% - Accent6 2 2 3 2 2" xfId="4358"/>
    <cellStyle name="20% - Accent6 2 2 3 3" xfId="4359"/>
    <cellStyle name="20% - Accent6 2 2 4" xfId="4360"/>
    <cellStyle name="20% - Accent6 2 3" xfId="4008"/>
    <cellStyle name="20% - Accent6 2 4" xfId="4361"/>
    <cellStyle name="20% - Accent6 2 5" xfId="3918"/>
    <cellStyle name="20% - Accent6 3" xfId="573"/>
    <cellStyle name="20% - Accent6 4" xfId="574"/>
    <cellStyle name="20% - Accent6 5" xfId="1120"/>
    <cellStyle name="20% - Accent6 5 10" xfId="2753"/>
    <cellStyle name="20% - Accent6 5 10 2" xfId="6165"/>
    <cellStyle name="20% - Accent6 5 11" xfId="3757"/>
    <cellStyle name="20% - Accent6 5 2" xfId="1411"/>
    <cellStyle name="20% - Accent6 5 2 2" xfId="1562"/>
    <cellStyle name="20% - Accent6 5 2 2 2" xfId="2601"/>
    <cellStyle name="20% - Accent6 5 2 2 2 2" xfId="3686"/>
    <cellStyle name="20% - Accent6 5 2 2 2 2 2" xfId="7095"/>
    <cellStyle name="20% - Accent6 5 2 2 2 3" xfId="6097"/>
    <cellStyle name="20% - Accent6 5 2 2 3" xfId="2326"/>
    <cellStyle name="20% - Accent6 5 2 2 3 2" xfId="3416"/>
    <cellStyle name="20% - Accent6 5 2 2 3 2 2" xfId="6825"/>
    <cellStyle name="20% - Accent6 5 2 2 3 3" xfId="5827"/>
    <cellStyle name="20% - Accent6 5 2 2 4" xfId="1882"/>
    <cellStyle name="20% - Accent6 5 2 2 4 2" xfId="5392"/>
    <cellStyle name="20% - Accent6 5 2 2 5" xfId="2981"/>
    <cellStyle name="20% - Accent6 5 2 2 5 2" xfId="6390"/>
    <cellStyle name="20% - Accent6 5 2 2 6" xfId="5092"/>
    <cellStyle name="20% - Accent6 5 2 3" xfId="2216"/>
    <cellStyle name="20% - Accent6 5 2 3 2" xfId="3306"/>
    <cellStyle name="20% - Accent6 5 2 3 2 2" xfId="6715"/>
    <cellStyle name="20% - Accent6 5 2 3 3" xfId="5717"/>
    <cellStyle name="20% - Accent6 5 2 4" xfId="2491"/>
    <cellStyle name="20% - Accent6 5 2 4 2" xfId="3576"/>
    <cellStyle name="20% - Accent6 5 2 4 2 2" xfId="6985"/>
    <cellStyle name="20% - Accent6 5 2 4 3" xfId="5987"/>
    <cellStyle name="20% - Accent6 5 2 5" xfId="2051"/>
    <cellStyle name="20% - Accent6 5 2 5 2" xfId="3146"/>
    <cellStyle name="20% - Accent6 5 2 5 2 2" xfId="6555"/>
    <cellStyle name="20% - Accent6 5 2 5 3" xfId="5557"/>
    <cellStyle name="20% - Accent6 5 2 6" xfId="1772"/>
    <cellStyle name="20% - Accent6 5 2 6 2" xfId="5282"/>
    <cellStyle name="20% - Accent6 5 2 7" xfId="2871"/>
    <cellStyle name="20% - Accent6 5 2 7 2" xfId="6280"/>
    <cellStyle name="20% - Accent6 5 2 8" xfId="3862"/>
    <cellStyle name="20% - Accent6 5 3" xfId="1354"/>
    <cellStyle name="20% - Accent6 5 3 2" xfId="2171"/>
    <cellStyle name="20% - Accent6 5 3 2 2" xfId="3261"/>
    <cellStyle name="20% - Accent6 5 3 2 2 2" xfId="6670"/>
    <cellStyle name="20% - Accent6 5 3 2 3" xfId="5672"/>
    <cellStyle name="20% - Accent6 5 3 3" xfId="2446"/>
    <cellStyle name="20% - Accent6 5 3 3 2" xfId="3531"/>
    <cellStyle name="20% - Accent6 5 3 3 2 2" xfId="6940"/>
    <cellStyle name="20% - Accent6 5 3 3 3" xfId="5942"/>
    <cellStyle name="20% - Accent6 5 3 4" xfId="2006"/>
    <cellStyle name="20% - Accent6 5 3 4 2" xfId="3101"/>
    <cellStyle name="20% - Accent6 5 3 4 2 2" xfId="6510"/>
    <cellStyle name="20% - Accent6 5 3 4 3" xfId="5512"/>
    <cellStyle name="20% - Accent6 5 3 5" xfId="1727"/>
    <cellStyle name="20% - Accent6 5 3 5 2" xfId="5237"/>
    <cellStyle name="20% - Accent6 5 3 6" xfId="2826"/>
    <cellStyle name="20% - Accent6 5 3 6 2" xfId="6235"/>
    <cellStyle name="20% - Accent6 5 3 7" xfId="3817"/>
    <cellStyle name="20% - Accent6 5 4" xfId="1502"/>
    <cellStyle name="20% - Accent6 5 4 2" xfId="2541"/>
    <cellStyle name="20% - Accent6 5 4 2 2" xfId="3626"/>
    <cellStyle name="20% - Accent6 5 4 2 2 2" xfId="7035"/>
    <cellStyle name="20% - Accent6 5 4 2 3" xfId="6037"/>
    <cellStyle name="20% - Accent6 5 4 3" xfId="2266"/>
    <cellStyle name="20% - Accent6 5 4 3 2" xfId="3356"/>
    <cellStyle name="20% - Accent6 5 4 3 2 2" xfId="6765"/>
    <cellStyle name="20% - Accent6 5 4 3 3" xfId="5767"/>
    <cellStyle name="20% - Accent6 5 4 4" xfId="1822"/>
    <cellStyle name="20% - Accent6 5 4 4 2" xfId="5332"/>
    <cellStyle name="20% - Accent6 5 4 5" xfId="2921"/>
    <cellStyle name="20% - Accent6 5 4 5 2" xfId="6330"/>
    <cellStyle name="20% - Accent6 5 4 6" xfId="5032"/>
    <cellStyle name="20% - Accent6 5 5" xfId="2101"/>
    <cellStyle name="20% - Accent6 5 5 2" xfId="3191"/>
    <cellStyle name="20% - Accent6 5 5 2 2" xfId="6600"/>
    <cellStyle name="20% - Accent6 5 5 3" xfId="5602"/>
    <cellStyle name="20% - Accent6 5 6" xfId="2374"/>
    <cellStyle name="20% - Accent6 5 6 2" xfId="3461"/>
    <cellStyle name="20% - Accent6 5 6 2 2" xfId="6870"/>
    <cellStyle name="20% - Accent6 5 6 3" xfId="5872"/>
    <cellStyle name="20% - Accent6 5 7" xfId="1946"/>
    <cellStyle name="20% - Accent6 5 7 2" xfId="3041"/>
    <cellStyle name="20% - Accent6 5 7 2 2" xfId="6450"/>
    <cellStyle name="20% - Accent6 5 7 3" xfId="5452"/>
    <cellStyle name="20% - Accent6 5 8" xfId="1655"/>
    <cellStyle name="20% - Accent6 5 8 2" xfId="5167"/>
    <cellStyle name="20% - Accent6 5 9" xfId="1603"/>
    <cellStyle name="20% - Accent6 5 9 2" xfId="5122"/>
    <cellStyle name="20% - Accent6 6" xfId="1035"/>
    <cellStyle name="20% - Accent6 6 10" xfId="3742"/>
    <cellStyle name="20% - Accent6 6 2" xfId="1396"/>
    <cellStyle name="20% - Accent6 6 2 2" xfId="1547"/>
    <cellStyle name="20% - Accent6 6 2 2 2" xfId="2586"/>
    <cellStyle name="20% - Accent6 6 2 2 2 2" xfId="3671"/>
    <cellStyle name="20% - Accent6 6 2 2 2 2 2" xfId="7080"/>
    <cellStyle name="20% - Accent6 6 2 2 2 3" xfId="6082"/>
    <cellStyle name="20% - Accent6 6 2 2 3" xfId="2311"/>
    <cellStyle name="20% - Accent6 6 2 2 3 2" xfId="3401"/>
    <cellStyle name="20% - Accent6 6 2 2 3 2 2" xfId="6810"/>
    <cellStyle name="20% - Accent6 6 2 2 3 3" xfId="5812"/>
    <cellStyle name="20% - Accent6 6 2 2 4" xfId="1867"/>
    <cellStyle name="20% - Accent6 6 2 2 4 2" xfId="5377"/>
    <cellStyle name="20% - Accent6 6 2 2 5" xfId="2966"/>
    <cellStyle name="20% - Accent6 6 2 2 5 2" xfId="6375"/>
    <cellStyle name="20% - Accent6 6 2 2 6" xfId="5077"/>
    <cellStyle name="20% - Accent6 6 2 3" xfId="2201"/>
    <cellStyle name="20% - Accent6 6 2 3 2" xfId="3291"/>
    <cellStyle name="20% - Accent6 6 2 3 2 2" xfId="6700"/>
    <cellStyle name="20% - Accent6 6 2 3 3" xfId="5702"/>
    <cellStyle name="20% - Accent6 6 2 4" xfId="2476"/>
    <cellStyle name="20% - Accent6 6 2 4 2" xfId="3561"/>
    <cellStyle name="20% - Accent6 6 2 4 2 2" xfId="6970"/>
    <cellStyle name="20% - Accent6 6 2 4 3" xfId="5972"/>
    <cellStyle name="20% - Accent6 6 2 5" xfId="2036"/>
    <cellStyle name="20% - Accent6 6 2 5 2" xfId="3131"/>
    <cellStyle name="20% - Accent6 6 2 5 2 2" xfId="6540"/>
    <cellStyle name="20% - Accent6 6 2 5 3" xfId="5542"/>
    <cellStyle name="20% - Accent6 6 2 6" xfId="1757"/>
    <cellStyle name="20% - Accent6 6 2 6 2" xfId="5267"/>
    <cellStyle name="20% - Accent6 6 2 7" xfId="2856"/>
    <cellStyle name="20% - Accent6 6 2 7 2" xfId="6265"/>
    <cellStyle name="20% - Accent6 6 2 8" xfId="3847"/>
    <cellStyle name="20% - Accent6 6 3" xfId="1328"/>
    <cellStyle name="20% - Accent6 6 3 2" xfId="2155"/>
    <cellStyle name="20% - Accent6 6 3 2 2" xfId="3245"/>
    <cellStyle name="20% - Accent6 6 3 2 2 2" xfId="6654"/>
    <cellStyle name="20% - Accent6 6 3 2 3" xfId="5656"/>
    <cellStyle name="20% - Accent6 6 3 3" xfId="2430"/>
    <cellStyle name="20% - Accent6 6 3 3 2" xfId="3515"/>
    <cellStyle name="20% - Accent6 6 3 3 2 2" xfId="6924"/>
    <cellStyle name="20% - Accent6 6 3 3 3" xfId="5926"/>
    <cellStyle name="20% - Accent6 6 3 4" xfId="1991"/>
    <cellStyle name="20% - Accent6 6 3 4 2" xfId="3086"/>
    <cellStyle name="20% - Accent6 6 3 4 2 2" xfId="6495"/>
    <cellStyle name="20% - Accent6 6 3 4 3" xfId="5497"/>
    <cellStyle name="20% - Accent6 6 3 5" xfId="1711"/>
    <cellStyle name="20% - Accent6 6 3 5 2" xfId="5221"/>
    <cellStyle name="20% - Accent6 6 3 6" xfId="2810"/>
    <cellStyle name="20% - Accent6 6 3 6 2" xfId="6219"/>
    <cellStyle name="20% - Accent6 6 3 7" xfId="3802"/>
    <cellStyle name="20% - Accent6 6 4" xfId="1487"/>
    <cellStyle name="20% - Accent6 6 4 2" xfId="2526"/>
    <cellStyle name="20% - Accent6 6 4 2 2" xfId="3611"/>
    <cellStyle name="20% - Accent6 6 4 2 2 2" xfId="7020"/>
    <cellStyle name="20% - Accent6 6 4 2 3" xfId="6022"/>
    <cellStyle name="20% - Accent6 6 4 3" xfId="2251"/>
    <cellStyle name="20% - Accent6 6 4 3 2" xfId="3341"/>
    <cellStyle name="20% - Accent6 6 4 3 2 2" xfId="6750"/>
    <cellStyle name="20% - Accent6 6 4 3 3" xfId="5752"/>
    <cellStyle name="20% - Accent6 6 4 4" xfId="1807"/>
    <cellStyle name="20% - Accent6 6 4 4 2" xfId="5317"/>
    <cellStyle name="20% - Accent6 6 4 5" xfId="2906"/>
    <cellStyle name="20% - Accent6 6 4 5 2" xfId="6315"/>
    <cellStyle name="20% - Accent6 6 4 6" xfId="5017"/>
    <cellStyle name="20% - Accent6 6 5" xfId="2085"/>
    <cellStyle name="20% - Accent6 6 5 2" xfId="3176"/>
    <cellStyle name="20% - Accent6 6 5 2 2" xfId="6585"/>
    <cellStyle name="20% - Accent6 6 5 3" xfId="5587"/>
    <cellStyle name="20% - Accent6 6 6" xfId="2359"/>
    <cellStyle name="20% - Accent6 6 6 2" xfId="3446"/>
    <cellStyle name="20% - Accent6 6 6 2 2" xfId="6855"/>
    <cellStyle name="20% - Accent6 6 6 3" xfId="5857"/>
    <cellStyle name="20% - Accent6 6 7" xfId="1931"/>
    <cellStyle name="20% - Accent6 6 7 2" xfId="3026"/>
    <cellStyle name="20% - Accent6 6 7 2 2" xfId="6435"/>
    <cellStyle name="20% - Accent6 6 7 3" xfId="5437"/>
    <cellStyle name="20% - Accent6 6 8" xfId="1640"/>
    <cellStyle name="20% - Accent6 6 8 2" xfId="5152"/>
    <cellStyle name="20% - Accent6 6 9" xfId="2735"/>
    <cellStyle name="20% - Accent6 6 9 2" xfId="6150"/>
    <cellStyle name="20% - Accent6 7" xfId="1303"/>
    <cellStyle name="20% - Accent6 7 2" xfId="1517"/>
    <cellStyle name="20% - Accent6 7 2 2" xfId="2556"/>
    <cellStyle name="20% - Accent6 7 2 2 2" xfId="3641"/>
    <cellStyle name="20% - Accent6 7 2 2 2 2" xfId="7050"/>
    <cellStyle name="20% - Accent6 7 2 2 3" xfId="6052"/>
    <cellStyle name="20% - Accent6 7 2 3" xfId="2281"/>
    <cellStyle name="20% - Accent6 7 2 3 2" xfId="3371"/>
    <cellStyle name="20% - Accent6 7 2 3 2 2" xfId="6780"/>
    <cellStyle name="20% - Accent6 7 2 3 3" xfId="5782"/>
    <cellStyle name="20% - Accent6 7 2 4" xfId="1837"/>
    <cellStyle name="20% - Accent6 7 2 4 2" xfId="5347"/>
    <cellStyle name="20% - Accent6 7 2 5" xfId="2936"/>
    <cellStyle name="20% - Accent6 7 2 5 2" xfId="6345"/>
    <cellStyle name="20% - Accent6 7 2 6" xfId="5047"/>
    <cellStyle name="20% - Accent6 7 3" xfId="2140"/>
    <cellStyle name="20% - Accent6 7 3 2" xfId="3230"/>
    <cellStyle name="20% - Accent6 7 3 2 2" xfId="6639"/>
    <cellStyle name="20% - Accent6 7 3 3" xfId="5641"/>
    <cellStyle name="20% - Accent6 7 4" xfId="2415"/>
    <cellStyle name="20% - Accent6 7 4 2" xfId="3500"/>
    <cellStyle name="20% - Accent6 7 4 2 2" xfId="6909"/>
    <cellStyle name="20% - Accent6 7 4 3" xfId="5911"/>
    <cellStyle name="20% - Accent6 7 5" xfId="1976"/>
    <cellStyle name="20% - Accent6 7 5 2" xfId="3071"/>
    <cellStyle name="20% - Accent6 7 5 2 2" xfId="6480"/>
    <cellStyle name="20% - Accent6 7 5 3" xfId="5482"/>
    <cellStyle name="20% - Accent6 7 6" xfId="1695"/>
    <cellStyle name="20% - Accent6 7 6 2" xfId="5206"/>
    <cellStyle name="20% - Accent6 7 7" xfId="2794"/>
    <cellStyle name="20% - Accent6 7 7 2" xfId="6204"/>
    <cellStyle name="20% - Accent6 7 8" xfId="3787"/>
    <cellStyle name="20% - Accent6 8" xfId="1375"/>
    <cellStyle name="20% - Accent6 8 2" xfId="1532"/>
    <cellStyle name="20% - Accent6 8 2 2" xfId="2571"/>
    <cellStyle name="20% - Accent6 8 2 2 2" xfId="3656"/>
    <cellStyle name="20% - Accent6 8 2 2 2 2" xfId="7065"/>
    <cellStyle name="20% - Accent6 8 2 2 3" xfId="6067"/>
    <cellStyle name="20% - Accent6 8 2 3" xfId="2296"/>
    <cellStyle name="20% - Accent6 8 2 3 2" xfId="3386"/>
    <cellStyle name="20% - Accent6 8 2 3 2 2" xfId="6795"/>
    <cellStyle name="20% - Accent6 8 2 3 3" xfId="5797"/>
    <cellStyle name="20% - Accent6 8 2 4" xfId="1852"/>
    <cellStyle name="20% - Accent6 8 2 4 2" xfId="5362"/>
    <cellStyle name="20% - Accent6 8 2 5" xfId="2951"/>
    <cellStyle name="20% - Accent6 8 2 5 2" xfId="6360"/>
    <cellStyle name="20% - Accent6 8 2 6" xfId="5062"/>
    <cellStyle name="20% - Accent6 8 3" xfId="2186"/>
    <cellStyle name="20% - Accent6 8 3 2" xfId="3276"/>
    <cellStyle name="20% - Accent6 8 3 2 2" xfId="6685"/>
    <cellStyle name="20% - Accent6 8 3 3" xfId="5687"/>
    <cellStyle name="20% - Accent6 8 4" xfId="2461"/>
    <cellStyle name="20% - Accent6 8 4 2" xfId="3546"/>
    <cellStyle name="20% - Accent6 8 4 2 2" xfId="6955"/>
    <cellStyle name="20% - Accent6 8 4 3" xfId="5957"/>
    <cellStyle name="20% - Accent6 8 5" xfId="2021"/>
    <cellStyle name="20% - Accent6 8 5 2" xfId="3116"/>
    <cellStyle name="20% - Accent6 8 5 2 2" xfId="6525"/>
    <cellStyle name="20% - Accent6 8 5 3" xfId="5527"/>
    <cellStyle name="20% - Accent6 8 6" xfId="1742"/>
    <cellStyle name="20% - Accent6 8 6 2" xfId="5252"/>
    <cellStyle name="20% - Accent6 8 7" xfId="2841"/>
    <cellStyle name="20% - Accent6 8 7 2" xfId="6250"/>
    <cellStyle name="20% - Accent6 8 8" xfId="3832"/>
    <cellStyle name="20% - Accent6 9" xfId="1173"/>
    <cellStyle name="20% - Accent6 9 2" xfId="2118"/>
    <cellStyle name="20% - Accent6 9 2 2" xfId="3208"/>
    <cellStyle name="20% - Accent6 9 2 2 2" xfId="6617"/>
    <cellStyle name="20% - Accent6 9 2 3" xfId="5619"/>
    <cellStyle name="20% - Accent6 9 3" xfId="2391"/>
    <cellStyle name="20% - Accent6 9 3 2" xfId="3478"/>
    <cellStyle name="20% - Accent6 9 3 2 2" xfId="6887"/>
    <cellStyle name="20% - Accent6 9 3 3" xfId="5889"/>
    <cellStyle name="20% - Accent6 9 4" xfId="1961"/>
    <cellStyle name="20% - Accent6 9 4 2" xfId="3056"/>
    <cellStyle name="20% - Accent6 9 4 2 2" xfId="6465"/>
    <cellStyle name="20% - Accent6 9 4 3" xfId="5467"/>
    <cellStyle name="20% - Accent6 9 5" xfId="1673"/>
    <cellStyle name="20% - Accent6 9 5 2" xfId="5184"/>
    <cellStyle name="20% - Accent6 9 6" xfId="2771"/>
    <cellStyle name="20% - Accent6 9 6 2" xfId="6182"/>
    <cellStyle name="20% - Accent6 9 7" xfId="3772"/>
    <cellStyle name="40 % - Akzent1 2" xfId="156"/>
    <cellStyle name="40 % - Akzent1 2 2" xfId="3873"/>
    <cellStyle name="40 % - Akzent1 3" xfId="4946"/>
    <cellStyle name="40 % - Akzent2 2" xfId="157"/>
    <cellStyle name="40 % - Akzent2 2 2" xfId="3874"/>
    <cellStyle name="40 % - Akzent2 3" xfId="4948"/>
    <cellStyle name="40 % - Akzent3 2" xfId="158"/>
    <cellStyle name="40 % - Akzent3 2 2" xfId="3875"/>
    <cellStyle name="40 % - Akzent3 3" xfId="4950"/>
    <cellStyle name="40 % - Akzent4 2" xfId="159"/>
    <cellStyle name="40 % - Akzent4 2 2" xfId="3876"/>
    <cellStyle name="40 % - Akzent4 3" xfId="4952"/>
    <cellStyle name="40 % - Akzent5 2" xfId="160"/>
    <cellStyle name="40 % - Akzent5 2 2" xfId="3877"/>
    <cellStyle name="40 % - Akzent5 3" xfId="4954"/>
    <cellStyle name="40 % - Akzent6 2" xfId="161"/>
    <cellStyle name="40 % - Akzent6 2 2" xfId="3878"/>
    <cellStyle name="40 % - Akzent6 3" xfId="4956"/>
    <cellStyle name="40% - Accent1" xfId="162"/>
    <cellStyle name="40% - Accent1 10" xfId="1186"/>
    <cellStyle name="40% - Accent1 10 2" xfId="2123"/>
    <cellStyle name="40% - Accent1 10 2 2" xfId="3213"/>
    <cellStyle name="40% - Accent1 10 2 2 2" xfId="6622"/>
    <cellStyle name="40% - Accent1 10 2 3" xfId="5624"/>
    <cellStyle name="40% - Accent1 10 3" xfId="2396"/>
    <cellStyle name="40% - Accent1 10 3 2" xfId="3483"/>
    <cellStyle name="40% - Accent1 10 3 2 2" xfId="6892"/>
    <cellStyle name="40% - Accent1 10 3 3" xfId="5894"/>
    <cellStyle name="40% - Accent1 10 4" xfId="1907"/>
    <cellStyle name="40% - Accent1 10 4 2" xfId="3002"/>
    <cellStyle name="40% - Accent1 10 4 2 2" xfId="6411"/>
    <cellStyle name="40% - Accent1 10 4 3" xfId="5413"/>
    <cellStyle name="40% - Accent1 10 5" xfId="1678"/>
    <cellStyle name="40% - Accent1 10 5 2" xfId="5189"/>
    <cellStyle name="40% - Accent1 10 6" xfId="2776"/>
    <cellStyle name="40% - Accent1 10 6 2" xfId="6187"/>
    <cellStyle name="40% - Accent1 10 7" xfId="3718"/>
    <cellStyle name="40% - Accent1 11" xfId="1463"/>
    <cellStyle name="40% - Accent1 11 2" xfId="2502"/>
    <cellStyle name="40% - Accent1 11 2 2" xfId="3587"/>
    <cellStyle name="40% - Accent1 11 2 2 2" xfId="6996"/>
    <cellStyle name="40% - Accent1 11 2 3" xfId="5998"/>
    <cellStyle name="40% - Accent1 11 3" xfId="2227"/>
    <cellStyle name="40% - Accent1 11 3 2" xfId="3317"/>
    <cellStyle name="40% - Accent1 11 3 2 2" xfId="6726"/>
    <cellStyle name="40% - Accent1 11 3 3" xfId="5728"/>
    <cellStyle name="40% - Accent1 11 4" xfId="1783"/>
    <cellStyle name="40% - Accent1 11 4 2" xfId="5293"/>
    <cellStyle name="40% - Accent1 11 5" xfId="2882"/>
    <cellStyle name="40% - Accent1 11 5 2" xfId="6291"/>
    <cellStyle name="40% - Accent1 11 6" xfId="4993"/>
    <cellStyle name="40% - Accent1 12" xfId="2060"/>
    <cellStyle name="40% - Accent1 12 2" xfId="3152"/>
    <cellStyle name="40% - Accent1 12 2 2" xfId="6561"/>
    <cellStyle name="40% - Accent1 12 3" xfId="5563"/>
    <cellStyle name="40% - Accent1 13" xfId="2334"/>
    <cellStyle name="40% - Accent1 13 2" xfId="3422"/>
    <cellStyle name="40% - Accent1 13 2 2" xfId="6831"/>
    <cellStyle name="40% - Accent1 13 3" xfId="5833"/>
    <cellStyle name="40% - Accent1 14" xfId="1891"/>
    <cellStyle name="40% - Accent1 14 2" xfId="2987"/>
    <cellStyle name="40% - Accent1 14 2 2" xfId="6396"/>
    <cellStyle name="40% - Accent1 14 3" xfId="5398"/>
    <cellStyle name="40% - Accent1 15" xfId="1615"/>
    <cellStyle name="40% - Accent1 15 2" xfId="2710"/>
    <cellStyle name="40% - Accent1 15 2 2" xfId="6126"/>
    <cellStyle name="40% - Accent1 15 3" xfId="5128"/>
    <cellStyle name="40% - Accent1 16" xfId="1571"/>
    <cellStyle name="40% - Accent1 16 2" xfId="5098"/>
    <cellStyle name="40% - Accent1 17" xfId="2624"/>
    <cellStyle name="40% - Accent1 17 2" xfId="6103"/>
    <cellStyle name="40% - Accent1 18" xfId="3703"/>
    <cellStyle name="40% - Accent1 19" xfId="509"/>
    <cellStyle name="40% - Accent1 2" xfId="367"/>
    <cellStyle name="40% - Accent1 2 2" xfId="575"/>
    <cellStyle name="40% - Accent1 2 2 2" xfId="4009"/>
    <cellStyle name="40% - Accent1 2 2 2 2" xfId="4224"/>
    <cellStyle name="40% - Accent1 2 2 2 2 2" xfId="4362"/>
    <cellStyle name="40% - Accent1 2 2 2 3" xfId="4363"/>
    <cellStyle name="40% - Accent1 2 2 3" xfId="4126"/>
    <cellStyle name="40% - Accent1 2 2 3 2" xfId="4225"/>
    <cellStyle name="40% - Accent1 2 2 3 2 2" xfId="4364"/>
    <cellStyle name="40% - Accent1 2 2 3 3" xfId="4365"/>
    <cellStyle name="40% - Accent1 2 2 4" xfId="4366"/>
    <cellStyle name="40% - Accent1 2 3" xfId="4010"/>
    <cellStyle name="40% - Accent1 2 4" xfId="4367"/>
    <cellStyle name="40% - Accent1 2 5" xfId="3919"/>
    <cellStyle name="40% - Accent1 3" xfId="576"/>
    <cellStyle name="40% - Accent1 4" xfId="577"/>
    <cellStyle name="40% - Accent1 5" xfId="1111"/>
    <cellStyle name="40% - Accent1 5 10" xfId="2744"/>
    <cellStyle name="40% - Accent1 5 10 2" xfId="6156"/>
    <cellStyle name="40% - Accent1 5 11" xfId="3748"/>
    <cellStyle name="40% - Accent1 5 2" xfId="1402"/>
    <cellStyle name="40% - Accent1 5 2 2" xfId="1553"/>
    <cellStyle name="40% - Accent1 5 2 2 2" xfId="2592"/>
    <cellStyle name="40% - Accent1 5 2 2 2 2" xfId="3677"/>
    <cellStyle name="40% - Accent1 5 2 2 2 2 2" xfId="7086"/>
    <cellStyle name="40% - Accent1 5 2 2 2 3" xfId="6088"/>
    <cellStyle name="40% - Accent1 5 2 2 3" xfId="2317"/>
    <cellStyle name="40% - Accent1 5 2 2 3 2" xfId="3407"/>
    <cellStyle name="40% - Accent1 5 2 2 3 2 2" xfId="6816"/>
    <cellStyle name="40% - Accent1 5 2 2 3 3" xfId="5818"/>
    <cellStyle name="40% - Accent1 5 2 2 4" xfId="1873"/>
    <cellStyle name="40% - Accent1 5 2 2 4 2" xfId="5383"/>
    <cellStyle name="40% - Accent1 5 2 2 5" xfId="2972"/>
    <cellStyle name="40% - Accent1 5 2 2 5 2" xfId="6381"/>
    <cellStyle name="40% - Accent1 5 2 2 6" xfId="5083"/>
    <cellStyle name="40% - Accent1 5 2 3" xfId="2207"/>
    <cellStyle name="40% - Accent1 5 2 3 2" xfId="3297"/>
    <cellStyle name="40% - Accent1 5 2 3 2 2" xfId="6706"/>
    <cellStyle name="40% - Accent1 5 2 3 3" xfId="5708"/>
    <cellStyle name="40% - Accent1 5 2 4" xfId="2482"/>
    <cellStyle name="40% - Accent1 5 2 4 2" xfId="3567"/>
    <cellStyle name="40% - Accent1 5 2 4 2 2" xfId="6976"/>
    <cellStyle name="40% - Accent1 5 2 4 3" xfId="5978"/>
    <cellStyle name="40% - Accent1 5 2 5" xfId="2042"/>
    <cellStyle name="40% - Accent1 5 2 5 2" xfId="3137"/>
    <cellStyle name="40% - Accent1 5 2 5 2 2" xfId="6546"/>
    <cellStyle name="40% - Accent1 5 2 5 3" xfId="5548"/>
    <cellStyle name="40% - Accent1 5 2 6" xfId="1763"/>
    <cellStyle name="40% - Accent1 5 2 6 2" xfId="5273"/>
    <cellStyle name="40% - Accent1 5 2 7" xfId="2862"/>
    <cellStyle name="40% - Accent1 5 2 7 2" xfId="6271"/>
    <cellStyle name="40% - Accent1 5 2 8" xfId="3853"/>
    <cellStyle name="40% - Accent1 5 3" xfId="1345"/>
    <cellStyle name="40% - Accent1 5 3 2" xfId="2162"/>
    <cellStyle name="40% - Accent1 5 3 2 2" xfId="3252"/>
    <cellStyle name="40% - Accent1 5 3 2 2 2" xfId="6661"/>
    <cellStyle name="40% - Accent1 5 3 2 3" xfId="5663"/>
    <cellStyle name="40% - Accent1 5 3 3" xfId="2437"/>
    <cellStyle name="40% - Accent1 5 3 3 2" xfId="3522"/>
    <cellStyle name="40% - Accent1 5 3 3 2 2" xfId="6931"/>
    <cellStyle name="40% - Accent1 5 3 3 3" xfId="5933"/>
    <cellStyle name="40% - Accent1 5 3 4" xfId="1997"/>
    <cellStyle name="40% - Accent1 5 3 4 2" xfId="3092"/>
    <cellStyle name="40% - Accent1 5 3 4 2 2" xfId="6501"/>
    <cellStyle name="40% - Accent1 5 3 4 3" xfId="5503"/>
    <cellStyle name="40% - Accent1 5 3 5" xfId="1718"/>
    <cellStyle name="40% - Accent1 5 3 5 2" xfId="5228"/>
    <cellStyle name="40% - Accent1 5 3 6" xfId="2817"/>
    <cellStyle name="40% - Accent1 5 3 6 2" xfId="6226"/>
    <cellStyle name="40% - Accent1 5 3 7" xfId="3808"/>
    <cellStyle name="40% - Accent1 5 4" xfId="1493"/>
    <cellStyle name="40% - Accent1 5 4 2" xfId="2532"/>
    <cellStyle name="40% - Accent1 5 4 2 2" xfId="3617"/>
    <cellStyle name="40% - Accent1 5 4 2 2 2" xfId="7026"/>
    <cellStyle name="40% - Accent1 5 4 2 3" xfId="6028"/>
    <cellStyle name="40% - Accent1 5 4 3" xfId="2257"/>
    <cellStyle name="40% - Accent1 5 4 3 2" xfId="3347"/>
    <cellStyle name="40% - Accent1 5 4 3 2 2" xfId="6756"/>
    <cellStyle name="40% - Accent1 5 4 3 3" xfId="5758"/>
    <cellStyle name="40% - Accent1 5 4 4" xfId="1813"/>
    <cellStyle name="40% - Accent1 5 4 4 2" xfId="5323"/>
    <cellStyle name="40% - Accent1 5 4 5" xfId="2912"/>
    <cellStyle name="40% - Accent1 5 4 5 2" xfId="6321"/>
    <cellStyle name="40% - Accent1 5 4 6" xfId="5023"/>
    <cellStyle name="40% - Accent1 5 5" xfId="2092"/>
    <cellStyle name="40% - Accent1 5 5 2" xfId="3182"/>
    <cellStyle name="40% - Accent1 5 5 2 2" xfId="6591"/>
    <cellStyle name="40% - Accent1 5 5 3" xfId="5593"/>
    <cellStyle name="40% - Accent1 5 6" xfId="2365"/>
    <cellStyle name="40% - Accent1 5 6 2" xfId="3452"/>
    <cellStyle name="40% - Accent1 5 6 2 2" xfId="6861"/>
    <cellStyle name="40% - Accent1 5 6 3" xfId="5863"/>
    <cellStyle name="40% - Accent1 5 7" xfId="1937"/>
    <cellStyle name="40% - Accent1 5 7 2" xfId="3032"/>
    <cellStyle name="40% - Accent1 5 7 2 2" xfId="6441"/>
    <cellStyle name="40% - Accent1 5 7 3" xfId="5443"/>
    <cellStyle name="40% - Accent1 5 8" xfId="1646"/>
    <cellStyle name="40% - Accent1 5 8 2" xfId="5158"/>
    <cellStyle name="40% - Accent1 5 9" xfId="1594"/>
    <cellStyle name="40% - Accent1 5 9 2" xfId="5113"/>
    <cellStyle name="40% - Accent1 6" xfId="1026"/>
    <cellStyle name="40% - Accent1 6 10" xfId="3733"/>
    <cellStyle name="40% - Accent1 6 2" xfId="1387"/>
    <cellStyle name="40% - Accent1 6 2 2" xfId="1538"/>
    <cellStyle name="40% - Accent1 6 2 2 2" xfId="2577"/>
    <cellStyle name="40% - Accent1 6 2 2 2 2" xfId="3662"/>
    <cellStyle name="40% - Accent1 6 2 2 2 2 2" xfId="7071"/>
    <cellStyle name="40% - Accent1 6 2 2 2 3" xfId="6073"/>
    <cellStyle name="40% - Accent1 6 2 2 3" xfId="2302"/>
    <cellStyle name="40% - Accent1 6 2 2 3 2" xfId="3392"/>
    <cellStyle name="40% - Accent1 6 2 2 3 2 2" xfId="6801"/>
    <cellStyle name="40% - Accent1 6 2 2 3 3" xfId="5803"/>
    <cellStyle name="40% - Accent1 6 2 2 4" xfId="1858"/>
    <cellStyle name="40% - Accent1 6 2 2 4 2" xfId="5368"/>
    <cellStyle name="40% - Accent1 6 2 2 5" xfId="2957"/>
    <cellStyle name="40% - Accent1 6 2 2 5 2" xfId="6366"/>
    <cellStyle name="40% - Accent1 6 2 2 6" xfId="5068"/>
    <cellStyle name="40% - Accent1 6 2 3" xfId="2192"/>
    <cellStyle name="40% - Accent1 6 2 3 2" xfId="3282"/>
    <cellStyle name="40% - Accent1 6 2 3 2 2" xfId="6691"/>
    <cellStyle name="40% - Accent1 6 2 3 3" xfId="5693"/>
    <cellStyle name="40% - Accent1 6 2 4" xfId="2467"/>
    <cellStyle name="40% - Accent1 6 2 4 2" xfId="3552"/>
    <cellStyle name="40% - Accent1 6 2 4 2 2" xfId="6961"/>
    <cellStyle name="40% - Accent1 6 2 4 3" xfId="5963"/>
    <cellStyle name="40% - Accent1 6 2 5" xfId="2027"/>
    <cellStyle name="40% - Accent1 6 2 5 2" xfId="3122"/>
    <cellStyle name="40% - Accent1 6 2 5 2 2" xfId="6531"/>
    <cellStyle name="40% - Accent1 6 2 5 3" xfId="5533"/>
    <cellStyle name="40% - Accent1 6 2 6" xfId="1748"/>
    <cellStyle name="40% - Accent1 6 2 6 2" xfId="5258"/>
    <cellStyle name="40% - Accent1 6 2 7" xfId="2847"/>
    <cellStyle name="40% - Accent1 6 2 7 2" xfId="6256"/>
    <cellStyle name="40% - Accent1 6 2 8" xfId="3838"/>
    <cellStyle name="40% - Accent1 6 3" xfId="1319"/>
    <cellStyle name="40% - Accent1 6 3 2" xfId="2146"/>
    <cellStyle name="40% - Accent1 6 3 2 2" xfId="3236"/>
    <cellStyle name="40% - Accent1 6 3 2 2 2" xfId="6645"/>
    <cellStyle name="40% - Accent1 6 3 2 3" xfId="5647"/>
    <cellStyle name="40% - Accent1 6 3 3" xfId="2421"/>
    <cellStyle name="40% - Accent1 6 3 3 2" xfId="3506"/>
    <cellStyle name="40% - Accent1 6 3 3 2 2" xfId="6915"/>
    <cellStyle name="40% - Accent1 6 3 3 3" xfId="5917"/>
    <cellStyle name="40% - Accent1 6 3 4" xfId="1982"/>
    <cellStyle name="40% - Accent1 6 3 4 2" xfId="3077"/>
    <cellStyle name="40% - Accent1 6 3 4 2 2" xfId="6486"/>
    <cellStyle name="40% - Accent1 6 3 4 3" xfId="5488"/>
    <cellStyle name="40% - Accent1 6 3 5" xfId="1702"/>
    <cellStyle name="40% - Accent1 6 3 5 2" xfId="5212"/>
    <cellStyle name="40% - Accent1 6 3 6" xfId="2801"/>
    <cellStyle name="40% - Accent1 6 3 6 2" xfId="6210"/>
    <cellStyle name="40% - Accent1 6 3 7" xfId="3793"/>
    <cellStyle name="40% - Accent1 6 4" xfId="1478"/>
    <cellStyle name="40% - Accent1 6 4 2" xfId="2517"/>
    <cellStyle name="40% - Accent1 6 4 2 2" xfId="3602"/>
    <cellStyle name="40% - Accent1 6 4 2 2 2" xfId="7011"/>
    <cellStyle name="40% - Accent1 6 4 2 3" xfId="6013"/>
    <cellStyle name="40% - Accent1 6 4 3" xfId="2242"/>
    <cellStyle name="40% - Accent1 6 4 3 2" xfId="3332"/>
    <cellStyle name="40% - Accent1 6 4 3 2 2" xfId="6741"/>
    <cellStyle name="40% - Accent1 6 4 3 3" xfId="5743"/>
    <cellStyle name="40% - Accent1 6 4 4" xfId="1798"/>
    <cellStyle name="40% - Accent1 6 4 4 2" xfId="5308"/>
    <cellStyle name="40% - Accent1 6 4 5" xfId="2897"/>
    <cellStyle name="40% - Accent1 6 4 5 2" xfId="6306"/>
    <cellStyle name="40% - Accent1 6 4 6" xfId="5008"/>
    <cellStyle name="40% - Accent1 6 5" xfId="2076"/>
    <cellStyle name="40% - Accent1 6 5 2" xfId="3167"/>
    <cellStyle name="40% - Accent1 6 5 2 2" xfId="6576"/>
    <cellStyle name="40% - Accent1 6 5 3" xfId="5578"/>
    <cellStyle name="40% - Accent1 6 6" xfId="2350"/>
    <cellStyle name="40% - Accent1 6 6 2" xfId="3437"/>
    <cellStyle name="40% - Accent1 6 6 2 2" xfId="6846"/>
    <cellStyle name="40% - Accent1 6 6 3" xfId="5848"/>
    <cellStyle name="40% - Accent1 6 7" xfId="1922"/>
    <cellStyle name="40% - Accent1 6 7 2" xfId="3017"/>
    <cellStyle name="40% - Accent1 6 7 2 2" xfId="6426"/>
    <cellStyle name="40% - Accent1 6 7 3" xfId="5428"/>
    <cellStyle name="40% - Accent1 6 8" xfId="1631"/>
    <cellStyle name="40% - Accent1 6 8 2" xfId="5143"/>
    <cellStyle name="40% - Accent1 6 9" xfId="2726"/>
    <cellStyle name="40% - Accent1 6 9 2" xfId="6141"/>
    <cellStyle name="40% - Accent1 7" xfId="1294"/>
    <cellStyle name="40% - Accent1 7 2" xfId="1508"/>
    <cellStyle name="40% - Accent1 7 2 2" xfId="2547"/>
    <cellStyle name="40% - Accent1 7 2 2 2" xfId="3632"/>
    <cellStyle name="40% - Accent1 7 2 2 2 2" xfId="7041"/>
    <cellStyle name="40% - Accent1 7 2 2 3" xfId="6043"/>
    <cellStyle name="40% - Accent1 7 2 3" xfId="2272"/>
    <cellStyle name="40% - Accent1 7 2 3 2" xfId="3362"/>
    <cellStyle name="40% - Accent1 7 2 3 2 2" xfId="6771"/>
    <cellStyle name="40% - Accent1 7 2 3 3" xfId="5773"/>
    <cellStyle name="40% - Accent1 7 2 4" xfId="1828"/>
    <cellStyle name="40% - Accent1 7 2 4 2" xfId="5338"/>
    <cellStyle name="40% - Accent1 7 2 5" xfId="2927"/>
    <cellStyle name="40% - Accent1 7 2 5 2" xfId="6336"/>
    <cellStyle name="40% - Accent1 7 2 6" xfId="5038"/>
    <cellStyle name="40% - Accent1 7 3" xfId="2131"/>
    <cellStyle name="40% - Accent1 7 3 2" xfId="3221"/>
    <cellStyle name="40% - Accent1 7 3 2 2" xfId="6630"/>
    <cellStyle name="40% - Accent1 7 3 3" xfId="5632"/>
    <cellStyle name="40% - Accent1 7 4" xfId="2406"/>
    <cellStyle name="40% - Accent1 7 4 2" xfId="3491"/>
    <cellStyle name="40% - Accent1 7 4 2 2" xfId="6900"/>
    <cellStyle name="40% - Accent1 7 4 3" xfId="5902"/>
    <cellStyle name="40% - Accent1 7 5" xfId="1967"/>
    <cellStyle name="40% - Accent1 7 5 2" xfId="3062"/>
    <cellStyle name="40% - Accent1 7 5 2 2" xfId="6471"/>
    <cellStyle name="40% - Accent1 7 5 3" xfId="5473"/>
    <cellStyle name="40% - Accent1 7 6" xfId="1686"/>
    <cellStyle name="40% - Accent1 7 6 2" xfId="5197"/>
    <cellStyle name="40% - Accent1 7 7" xfId="2785"/>
    <cellStyle name="40% - Accent1 7 7 2" xfId="6195"/>
    <cellStyle name="40% - Accent1 7 8" xfId="3778"/>
    <cellStyle name="40% - Accent1 8" xfId="1365"/>
    <cellStyle name="40% - Accent1 8 2" xfId="1523"/>
    <cellStyle name="40% - Accent1 8 2 2" xfId="2562"/>
    <cellStyle name="40% - Accent1 8 2 2 2" xfId="3647"/>
    <cellStyle name="40% - Accent1 8 2 2 2 2" xfId="7056"/>
    <cellStyle name="40% - Accent1 8 2 2 3" xfId="6058"/>
    <cellStyle name="40% - Accent1 8 2 3" xfId="2287"/>
    <cellStyle name="40% - Accent1 8 2 3 2" xfId="3377"/>
    <cellStyle name="40% - Accent1 8 2 3 2 2" xfId="6786"/>
    <cellStyle name="40% - Accent1 8 2 3 3" xfId="5788"/>
    <cellStyle name="40% - Accent1 8 2 4" xfId="1843"/>
    <cellStyle name="40% - Accent1 8 2 4 2" xfId="5353"/>
    <cellStyle name="40% - Accent1 8 2 5" xfId="2942"/>
    <cellStyle name="40% - Accent1 8 2 5 2" xfId="6351"/>
    <cellStyle name="40% - Accent1 8 2 6" xfId="5053"/>
    <cellStyle name="40% - Accent1 8 3" xfId="2177"/>
    <cellStyle name="40% - Accent1 8 3 2" xfId="3267"/>
    <cellStyle name="40% - Accent1 8 3 2 2" xfId="6676"/>
    <cellStyle name="40% - Accent1 8 3 3" xfId="5678"/>
    <cellStyle name="40% - Accent1 8 4" xfId="2452"/>
    <cellStyle name="40% - Accent1 8 4 2" xfId="3537"/>
    <cellStyle name="40% - Accent1 8 4 2 2" xfId="6946"/>
    <cellStyle name="40% - Accent1 8 4 3" xfId="5948"/>
    <cellStyle name="40% - Accent1 8 5" xfId="2012"/>
    <cellStyle name="40% - Accent1 8 5 2" xfId="3107"/>
    <cellStyle name="40% - Accent1 8 5 2 2" xfId="6516"/>
    <cellStyle name="40% - Accent1 8 5 3" xfId="5518"/>
    <cellStyle name="40% - Accent1 8 6" xfId="1733"/>
    <cellStyle name="40% - Accent1 8 6 2" xfId="5243"/>
    <cellStyle name="40% - Accent1 8 7" xfId="2832"/>
    <cellStyle name="40% - Accent1 8 7 2" xfId="6241"/>
    <cellStyle name="40% - Accent1 8 8" xfId="3823"/>
    <cellStyle name="40% - Accent1 9" xfId="1163"/>
    <cellStyle name="40% - Accent1 9 2" xfId="2109"/>
    <cellStyle name="40% - Accent1 9 2 2" xfId="3199"/>
    <cellStyle name="40% - Accent1 9 2 2 2" xfId="6608"/>
    <cellStyle name="40% - Accent1 9 2 3" xfId="5610"/>
    <cellStyle name="40% - Accent1 9 3" xfId="2382"/>
    <cellStyle name="40% - Accent1 9 3 2" xfId="3469"/>
    <cellStyle name="40% - Accent1 9 3 2 2" xfId="6878"/>
    <cellStyle name="40% - Accent1 9 3 3" xfId="5880"/>
    <cellStyle name="40% - Accent1 9 4" xfId="1952"/>
    <cellStyle name="40% - Accent1 9 4 2" xfId="3047"/>
    <cellStyle name="40% - Accent1 9 4 2 2" xfId="6456"/>
    <cellStyle name="40% - Accent1 9 4 3" xfId="5458"/>
    <cellStyle name="40% - Accent1 9 5" xfId="1664"/>
    <cellStyle name="40% - Accent1 9 5 2" xfId="5175"/>
    <cellStyle name="40% - Accent1 9 6" xfId="2762"/>
    <cellStyle name="40% - Accent1 9 6 2" xfId="6173"/>
    <cellStyle name="40% - Accent1 9 7" xfId="3763"/>
    <cellStyle name="40% - Accent2" xfId="163"/>
    <cellStyle name="40% - Accent2 10" xfId="1151"/>
    <cellStyle name="40% - Accent2 10 2" xfId="2107"/>
    <cellStyle name="40% - Accent2 10 2 2" xfId="3197"/>
    <cellStyle name="40% - Accent2 10 2 2 2" xfId="6606"/>
    <cellStyle name="40% - Accent2 10 2 3" xfId="5608"/>
    <cellStyle name="40% - Accent2 10 3" xfId="2380"/>
    <cellStyle name="40% - Accent2 10 3 2" xfId="3467"/>
    <cellStyle name="40% - Accent2 10 3 2 2" xfId="6876"/>
    <cellStyle name="40% - Accent2 10 3 3" xfId="5878"/>
    <cellStyle name="40% - Accent2 10 4" xfId="1909"/>
    <cellStyle name="40% - Accent2 10 4 2" xfId="3004"/>
    <cellStyle name="40% - Accent2 10 4 2 2" xfId="6413"/>
    <cellStyle name="40% - Accent2 10 4 3" xfId="5415"/>
    <cellStyle name="40% - Accent2 10 5" xfId="1662"/>
    <cellStyle name="40% - Accent2 10 5 2" xfId="5173"/>
    <cellStyle name="40% - Accent2 10 6" xfId="2760"/>
    <cellStyle name="40% - Accent2 10 6 2" xfId="6171"/>
    <cellStyle name="40% - Accent2 10 7" xfId="3720"/>
    <cellStyle name="40% - Accent2 11" xfId="1465"/>
    <cellStyle name="40% - Accent2 11 2" xfId="2504"/>
    <cellStyle name="40% - Accent2 11 2 2" xfId="3589"/>
    <cellStyle name="40% - Accent2 11 2 2 2" xfId="6998"/>
    <cellStyle name="40% - Accent2 11 2 3" xfId="6000"/>
    <cellStyle name="40% - Accent2 11 3" xfId="2229"/>
    <cellStyle name="40% - Accent2 11 3 2" xfId="3319"/>
    <cellStyle name="40% - Accent2 11 3 2 2" xfId="6728"/>
    <cellStyle name="40% - Accent2 11 3 3" xfId="5730"/>
    <cellStyle name="40% - Accent2 11 4" xfId="1785"/>
    <cellStyle name="40% - Accent2 11 4 2" xfId="5295"/>
    <cellStyle name="40% - Accent2 11 5" xfId="2884"/>
    <cellStyle name="40% - Accent2 11 5 2" xfId="6293"/>
    <cellStyle name="40% - Accent2 11 6" xfId="4995"/>
    <cellStyle name="40% - Accent2 12" xfId="2062"/>
    <cellStyle name="40% - Accent2 12 2" xfId="3154"/>
    <cellStyle name="40% - Accent2 12 2 2" xfId="6563"/>
    <cellStyle name="40% - Accent2 12 3" xfId="5565"/>
    <cellStyle name="40% - Accent2 13" xfId="2336"/>
    <cellStyle name="40% - Accent2 13 2" xfId="3424"/>
    <cellStyle name="40% - Accent2 13 2 2" xfId="6833"/>
    <cellStyle name="40% - Accent2 13 3" xfId="5835"/>
    <cellStyle name="40% - Accent2 14" xfId="1893"/>
    <cellStyle name="40% - Accent2 14 2" xfId="2989"/>
    <cellStyle name="40% - Accent2 14 2 2" xfId="6398"/>
    <cellStyle name="40% - Accent2 14 3" xfId="5400"/>
    <cellStyle name="40% - Accent2 15" xfId="1617"/>
    <cellStyle name="40% - Accent2 15 2" xfId="2712"/>
    <cellStyle name="40% - Accent2 15 2 2" xfId="6128"/>
    <cellStyle name="40% - Accent2 15 3" xfId="5130"/>
    <cellStyle name="40% - Accent2 16" xfId="1573"/>
    <cellStyle name="40% - Accent2 16 2" xfId="5100"/>
    <cellStyle name="40% - Accent2 17" xfId="2626"/>
    <cellStyle name="40% - Accent2 17 2" xfId="6105"/>
    <cellStyle name="40% - Accent2 18" xfId="3705"/>
    <cellStyle name="40% - Accent2 19" xfId="513"/>
    <cellStyle name="40% - Accent2 2" xfId="368"/>
    <cellStyle name="40% - Accent2 2 2" xfId="578"/>
    <cellStyle name="40% - Accent2 2 2 2" xfId="4011"/>
    <cellStyle name="40% - Accent2 2 2 2 2" xfId="4226"/>
    <cellStyle name="40% - Accent2 2 2 2 2 2" xfId="4368"/>
    <cellStyle name="40% - Accent2 2 2 2 3" xfId="4369"/>
    <cellStyle name="40% - Accent2 2 2 3" xfId="4127"/>
    <cellStyle name="40% - Accent2 2 2 3 2" xfId="4227"/>
    <cellStyle name="40% - Accent2 2 2 3 2 2" xfId="4370"/>
    <cellStyle name="40% - Accent2 2 2 3 3" xfId="4371"/>
    <cellStyle name="40% - Accent2 2 2 4" xfId="4372"/>
    <cellStyle name="40% - Accent2 2 3" xfId="4012"/>
    <cellStyle name="40% - Accent2 2 4" xfId="4373"/>
    <cellStyle name="40% - Accent2 2 5" xfId="3920"/>
    <cellStyle name="40% - Accent2 3" xfId="579"/>
    <cellStyle name="40% - Accent2 4" xfId="580"/>
    <cellStyle name="40% - Accent2 5" xfId="1113"/>
    <cellStyle name="40% - Accent2 5 10" xfId="2746"/>
    <cellStyle name="40% - Accent2 5 10 2" xfId="6158"/>
    <cellStyle name="40% - Accent2 5 11" xfId="3750"/>
    <cellStyle name="40% - Accent2 5 2" xfId="1404"/>
    <cellStyle name="40% - Accent2 5 2 2" xfId="1555"/>
    <cellStyle name="40% - Accent2 5 2 2 2" xfId="2594"/>
    <cellStyle name="40% - Accent2 5 2 2 2 2" xfId="3679"/>
    <cellStyle name="40% - Accent2 5 2 2 2 2 2" xfId="7088"/>
    <cellStyle name="40% - Accent2 5 2 2 2 3" xfId="6090"/>
    <cellStyle name="40% - Accent2 5 2 2 3" xfId="2319"/>
    <cellStyle name="40% - Accent2 5 2 2 3 2" xfId="3409"/>
    <cellStyle name="40% - Accent2 5 2 2 3 2 2" xfId="6818"/>
    <cellStyle name="40% - Accent2 5 2 2 3 3" xfId="5820"/>
    <cellStyle name="40% - Accent2 5 2 2 4" xfId="1875"/>
    <cellStyle name="40% - Accent2 5 2 2 4 2" xfId="5385"/>
    <cellStyle name="40% - Accent2 5 2 2 5" xfId="2974"/>
    <cellStyle name="40% - Accent2 5 2 2 5 2" xfId="6383"/>
    <cellStyle name="40% - Accent2 5 2 2 6" xfId="5085"/>
    <cellStyle name="40% - Accent2 5 2 3" xfId="2209"/>
    <cellStyle name="40% - Accent2 5 2 3 2" xfId="3299"/>
    <cellStyle name="40% - Accent2 5 2 3 2 2" xfId="6708"/>
    <cellStyle name="40% - Accent2 5 2 3 3" xfId="5710"/>
    <cellStyle name="40% - Accent2 5 2 4" xfId="2484"/>
    <cellStyle name="40% - Accent2 5 2 4 2" xfId="3569"/>
    <cellStyle name="40% - Accent2 5 2 4 2 2" xfId="6978"/>
    <cellStyle name="40% - Accent2 5 2 4 3" xfId="5980"/>
    <cellStyle name="40% - Accent2 5 2 5" xfId="2044"/>
    <cellStyle name="40% - Accent2 5 2 5 2" xfId="3139"/>
    <cellStyle name="40% - Accent2 5 2 5 2 2" xfId="6548"/>
    <cellStyle name="40% - Accent2 5 2 5 3" xfId="5550"/>
    <cellStyle name="40% - Accent2 5 2 6" xfId="1765"/>
    <cellStyle name="40% - Accent2 5 2 6 2" xfId="5275"/>
    <cellStyle name="40% - Accent2 5 2 7" xfId="2864"/>
    <cellStyle name="40% - Accent2 5 2 7 2" xfId="6273"/>
    <cellStyle name="40% - Accent2 5 2 8" xfId="3855"/>
    <cellStyle name="40% - Accent2 5 3" xfId="1347"/>
    <cellStyle name="40% - Accent2 5 3 2" xfId="2164"/>
    <cellStyle name="40% - Accent2 5 3 2 2" xfId="3254"/>
    <cellStyle name="40% - Accent2 5 3 2 2 2" xfId="6663"/>
    <cellStyle name="40% - Accent2 5 3 2 3" xfId="5665"/>
    <cellStyle name="40% - Accent2 5 3 3" xfId="2439"/>
    <cellStyle name="40% - Accent2 5 3 3 2" xfId="3524"/>
    <cellStyle name="40% - Accent2 5 3 3 2 2" xfId="6933"/>
    <cellStyle name="40% - Accent2 5 3 3 3" xfId="5935"/>
    <cellStyle name="40% - Accent2 5 3 4" xfId="1999"/>
    <cellStyle name="40% - Accent2 5 3 4 2" xfId="3094"/>
    <cellStyle name="40% - Accent2 5 3 4 2 2" xfId="6503"/>
    <cellStyle name="40% - Accent2 5 3 4 3" xfId="5505"/>
    <cellStyle name="40% - Accent2 5 3 5" xfId="1720"/>
    <cellStyle name="40% - Accent2 5 3 5 2" xfId="5230"/>
    <cellStyle name="40% - Accent2 5 3 6" xfId="2819"/>
    <cellStyle name="40% - Accent2 5 3 6 2" xfId="6228"/>
    <cellStyle name="40% - Accent2 5 3 7" xfId="3810"/>
    <cellStyle name="40% - Accent2 5 4" xfId="1495"/>
    <cellStyle name="40% - Accent2 5 4 2" xfId="2534"/>
    <cellStyle name="40% - Accent2 5 4 2 2" xfId="3619"/>
    <cellStyle name="40% - Accent2 5 4 2 2 2" xfId="7028"/>
    <cellStyle name="40% - Accent2 5 4 2 3" xfId="6030"/>
    <cellStyle name="40% - Accent2 5 4 3" xfId="2259"/>
    <cellStyle name="40% - Accent2 5 4 3 2" xfId="3349"/>
    <cellStyle name="40% - Accent2 5 4 3 2 2" xfId="6758"/>
    <cellStyle name="40% - Accent2 5 4 3 3" xfId="5760"/>
    <cellStyle name="40% - Accent2 5 4 4" xfId="1815"/>
    <cellStyle name="40% - Accent2 5 4 4 2" xfId="5325"/>
    <cellStyle name="40% - Accent2 5 4 5" xfId="2914"/>
    <cellStyle name="40% - Accent2 5 4 5 2" xfId="6323"/>
    <cellStyle name="40% - Accent2 5 4 6" xfId="5025"/>
    <cellStyle name="40% - Accent2 5 5" xfId="2094"/>
    <cellStyle name="40% - Accent2 5 5 2" xfId="3184"/>
    <cellStyle name="40% - Accent2 5 5 2 2" xfId="6593"/>
    <cellStyle name="40% - Accent2 5 5 3" xfId="5595"/>
    <cellStyle name="40% - Accent2 5 6" xfId="2367"/>
    <cellStyle name="40% - Accent2 5 6 2" xfId="3454"/>
    <cellStyle name="40% - Accent2 5 6 2 2" xfId="6863"/>
    <cellStyle name="40% - Accent2 5 6 3" xfId="5865"/>
    <cellStyle name="40% - Accent2 5 7" xfId="1939"/>
    <cellStyle name="40% - Accent2 5 7 2" xfId="3034"/>
    <cellStyle name="40% - Accent2 5 7 2 2" xfId="6443"/>
    <cellStyle name="40% - Accent2 5 7 3" xfId="5445"/>
    <cellStyle name="40% - Accent2 5 8" xfId="1648"/>
    <cellStyle name="40% - Accent2 5 8 2" xfId="5160"/>
    <cellStyle name="40% - Accent2 5 9" xfId="1596"/>
    <cellStyle name="40% - Accent2 5 9 2" xfId="5115"/>
    <cellStyle name="40% - Accent2 6" xfId="1028"/>
    <cellStyle name="40% - Accent2 6 10" xfId="3735"/>
    <cellStyle name="40% - Accent2 6 2" xfId="1389"/>
    <cellStyle name="40% - Accent2 6 2 2" xfId="1540"/>
    <cellStyle name="40% - Accent2 6 2 2 2" xfId="2579"/>
    <cellStyle name="40% - Accent2 6 2 2 2 2" xfId="3664"/>
    <cellStyle name="40% - Accent2 6 2 2 2 2 2" xfId="7073"/>
    <cellStyle name="40% - Accent2 6 2 2 2 3" xfId="6075"/>
    <cellStyle name="40% - Accent2 6 2 2 3" xfId="2304"/>
    <cellStyle name="40% - Accent2 6 2 2 3 2" xfId="3394"/>
    <cellStyle name="40% - Accent2 6 2 2 3 2 2" xfId="6803"/>
    <cellStyle name="40% - Accent2 6 2 2 3 3" xfId="5805"/>
    <cellStyle name="40% - Accent2 6 2 2 4" xfId="1860"/>
    <cellStyle name="40% - Accent2 6 2 2 4 2" xfId="5370"/>
    <cellStyle name="40% - Accent2 6 2 2 5" xfId="2959"/>
    <cellStyle name="40% - Accent2 6 2 2 5 2" xfId="6368"/>
    <cellStyle name="40% - Accent2 6 2 2 6" xfId="5070"/>
    <cellStyle name="40% - Accent2 6 2 3" xfId="2194"/>
    <cellStyle name="40% - Accent2 6 2 3 2" xfId="3284"/>
    <cellStyle name="40% - Accent2 6 2 3 2 2" xfId="6693"/>
    <cellStyle name="40% - Accent2 6 2 3 3" xfId="5695"/>
    <cellStyle name="40% - Accent2 6 2 4" xfId="2469"/>
    <cellStyle name="40% - Accent2 6 2 4 2" xfId="3554"/>
    <cellStyle name="40% - Accent2 6 2 4 2 2" xfId="6963"/>
    <cellStyle name="40% - Accent2 6 2 4 3" xfId="5965"/>
    <cellStyle name="40% - Accent2 6 2 5" xfId="2029"/>
    <cellStyle name="40% - Accent2 6 2 5 2" xfId="3124"/>
    <cellStyle name="40% - Accent2 6 2 5 2 2" xfId="6533"/>
    <cellStyle name="40% - Accent2 6 2 5 3" xfId="5535"/>
    <cellStyle name="40% - Accent2 6 2 6" xfId="1750"/>
    <cellStyle name="40% - Accent2 6 2 6 2" xfId="5260"/>
    <cellStyle name="40% - Accent2 6 2 7" xfId="2849"/>
    <cellStyle name="40% - Accent2 6 2 7 2" xfId="6258"/>
    <cellStyle name="40% - Accent2 6 2 8" xfId="3840"/>
    <cellStyle name="40% - Accent2 6 3" xfId="1321"/>
    <cellStyle name="40% - Accent2 6 3 2" xfId="2148"/>
    <cellStyle name="40% - Accent2 6 3 2 2" xfId="3238"/>
    <cellStyle name="40% - Accent2 6 3 2 2 2" xfId="6647"/>
    <cellStyle name="40% - Accent2 6 3 2 3" xfId="5649"/>
    <cellStyle name="40% - Accent2 6 3 3" xfId="2423"/>
    <cellStyle name="40% - Accent2 6 3 3 2" xfId="3508"/>
    <cellStyle name="40% - Accent2 6 3 3 2 2" xfId="6917"/>
    <cellStyle name="40% - Accent2 6 3 3 3" xfId="5919"/>
    <cellStyle name="40% - Accent2 6 3 4" xfId="1984"/>
    <cellStyle name="40% - Accent2 6 3 4 2" xfId="3079"/>
    <cellStyle name="40% - Accent2 6 3 4 2 2" xfId="6488"/>
    <cellStyle name="40% - Accent2 6 3 4 3" xfId="5490"/>
    <cellStyle name="40% - Accent2 6 3 5" xfId="1704"/>
    <cellStyle name="40% - Accent2 6 3 5 2" xfId="5214"/>
    <cellStyle name="40% - Accent2 6 3 6" xfId="2803"/>
    <cellStyle name="40% - Accent2 6 3 6 2" xfId="6212"/>
    <cellStyle name="40% - Accent2 6 3 7" xfId="3795"/>
    <cellStyle name="40% - Accent2 6 4" xfId="1480"/>
    <cellStyle name="40% - Accent2 6 4 2" xfId="2519"/>
    <cellStyle name="40% - Accent2 6 4 2 2" xfId="3604"/>
    <cellStyle name="40% - Accent2 6 4 2 2 2" xfId="7013"/>
    <cellStyle name="40% - Accent2 6 4 2 3" xfId="6015"/>
    <cellStyle name="40% - Accent2 6 4 3" xfId="2244"/>
    <cellStyle name="40% - Accent2 6 4 3 2" xfId="3334"/>
    <cellStyle name="40% - Accent2 6 4 3 2 2" xfId="6743"/>
    <cellStyle name="40% - Accent2 6 4 3 3" xfId="5745"/>
    <cellStyle name="40% - Accent2 6 4 4" xfId="1800"/>
    <cellStyle name="40% - Accent2 6 4 4 2" xfId="5310"/>
    <cellStyle name="40% - Accent2 6 4 5" xfId="2899"/>
    <cellStyle name="40% - Accent2 6 4 5 2" xfId="6308"/>
    <cellStyle name="40% - Accent2 6 4 6" xfId="5010"/>
    <cellStyle name="40% - Accent2 6 5" xfId="2078"/>
    <cellStyle name="40% - Accent2 6 5 2" xfId="3169"/>
    <cellStyle name="40% - Accent2 6 5 2 2" xfId="6578"/>
    <cellStyle name="40% - Accent2 6 5 3" xfId="5580"/>
    <cellStyle name="40% - Accent2 6 6" xfId="2352"/>
    <cellStyle name="40% - Accent2 6 6 2" xfId="3439"/>
    <cellStyle name="40% - Accent2 6 6 2 2" xfId="6848"/>
    <cellStyle name="40% - Accent2 6 6 3" xfId="5850"/>
    <cellStyle name="40% - Accent2 6 7" xfId="1924"/>
    <cellStyle name="40% - Accent2 6 7 2" xfId="3019"/>
    <cellStyle name="40% - Accent2 6 7 2 2" xfId="6428"/>
    <cellStyle name="40% - Accent2 6 7 3" xfId="5430"/>
    <cellStyle name="40% - Accent2 6 8" xfId="1633"/>
    <cellStyle name="40% - Accent2 6 8 2" xfId="5145"/>
    <cellStyle name="40% - Accent2 6 9" xfId="2728"/>
    <cellStyle name="40% - Accent2 6 9 2" xfId="6143"/>
    <cellStyle name="40% - Accent2 7" xfId="1296"/>
    <cellStyle name="40% - Accent2 7 2" xfId="1510"/>
    <cellStyle name="40% - Accent2 7 2 2" xfId="2549"/>
    <cellStyle name="40% - Accent2 7 2 2 2" xfId="3634"/>
    <cellStyle name="40% - Accent2 7 2 2 2 2" xfId="7043"/>
    <cellStyle name="40% - Accent2 7 2 2 3" xfId="6045"/>
    <cellStyle name="40% - Accent2 7 2 3" xfId="2274"/>
    <cellStyle name="40% - Accent2 7 2 3 2" xfId="3364"/>
    <cellStyle name="40% - Accent2 7 2 3 2 2" xfId="6773"/>
    <cellStyle name="40% - Accent2 7 2 3 3" xfId="5775"/>
    <cellStyle name="40% - Accent2 7 2 4" xfId="1830"/>
    <cellStyle name="40% - Accent2 7 2 4 2" xfId="5340"/>
    <cellStyle name="40% - Accent2 7 2 5" xfId="2929"/>
    <cellStyle name="40% - Accent2 7 2 5 2" xfId="6338"/>
    <cellStyle name="40% - Accent2 7 2 6" xfId="5040"/>
    <cellStyle name="40% - Accent2 7 3" xfId="2133"/>
    <cellStyle name="40% - Accent2 7 3 2" xfId="3223"/>
    <cellStyle name="40% - Accent2 7 3 2 2" xfId="6632"/>
    <cellStyle name="40% - Accent2 7 3 3" xfId="5634"/>
    <cellStyle name="40% - Accent2 7 4" xfId="2408"/>
    <cellStyle name="40% - Accent2 7 4 2" xfId="3493"/>
    <cellStyle name="40% - Accent2 7 4 2 2" xfId="6902"/>
    <cellStyle name="40% - Accent2 7 4 3" xfId="5904"/>
    <cellStyle name="40% - Accent2 7 5" xfId="1969"/>
    <cellStyle name="40% - Accent2 7 5 2" xfId="3064"/>
    <cellStyle name="40% - Accent2 7 5 2 2" xfId="6473"/>
    <cellStyle name="40% - Accent2 7 5 3" xfId="5475"/>
    <cellStyle name="40% - Accent2 7 6" xfId="1688"/>
    <cellStyle name="40% - Accent2 7 6 2" xfId="5199"/>
    <cellStyle name="40% - Accent2 7 7" xfId="2787"/>
    <cellStyle name="40% - Accent2 7 7 2" xfId="6197"/>
    <cellStyle name="40% - Accent2 7 8" xfId="3780"/>
    <cellStyle name="40% - Accent2 8" xfId="1368"/>
    <cellStyle name="40% - Accent2 8 2" xfId="1525"/>
    <cellStyle name="40% - Accent2 8 2 2" xfId="2564"/>
    <cellStyle name="40% - Accent2 8 2 2 2" xfId="3649"/>
    <cellStyle name="40% - Accent2 8 2 2 2 2" xfId="7058"/>
    <cellStyle name="40% - Accent2 8 2 2 3" xfId="6060"/>
    <cellStyle name="40% - Accent2 8 2 3" xfId="2289"/>
    <cellStyle name="40% - Accent2 8 2 3 2" xfId="3379"/>
    <cellStyle name="40% - Accent2 8 2 3 2 2" xfId="6788"/>
    <cellStyle name="40% - Accent2 8 2 3 3" xfId="5790"/>
    <cellStyle name="40% - Accent2 8 2 4" xfId="1845"/>
    <cellStyle name="40% - Accent2 8 2 4 2" xfId="5355"/>
    <cellStyle name="40% - Accent2 8 2 5" xfId="2944"/>
    <cellStyle name="40% - Accent2 8 2 5 2" xfId="6353"/>
    <cellStyle name="40% - Accent2 8 2 6" xfId="5055"/>
    <cellStyle name="40% - Accent2 8 3" xfId="2179"/>
    <cellStyle name="40% - Accent2 8 3 2" xfId="3269"/>
    <cellStyle name="40% - Accent2 8 3 2 2" xfId="6678"/>
    <cellStyle name="40% - Accent2 8 3 3" xfId="5680"/>
    <cellStyle name="40% - Accent2 8 4" xfId="2454"/>
    <cellStyle name="40% - Accent2 8 4 2" xfId="3539"/>
    <cellStyle name="40% - Accent2 8 4 2 2" xfId="6948"/>
    <cellStyle name="40% - Accent2 8 4 3" xfId="5950"/>
    <cellStyle name="40% - Accent2 8 5" xfId="2014"/>
    <cellStyle name="40% - Accent2 8 5 2" xfId="3109"/>
    <cellStyle name="40% - Accent2 8 5 2 2" xfId="6518"/>
    <cellStyle name="40% - Accent2 8 5 3" xfId="5520"/>
    <cellStyle name="40% - Accent2 8 6" xfId="1735"/>
    <cellStyle name="40% - Accent2 8 6 2" xfId="5245"/>
    <cellStyle name="40% - Accent2 8 7" xfId="2834"/>
    <cellStyle name="40% - Accent2 8 7 2" xfId="6243"/>
    <cellStyle name="40% - Accent2 8 8" xfId="3825"/>
    <cellStyle name="40% - Accent2 9" xfId="1166"/>
    <cellStyle name="40% - Accent2 9 2" xfId="2111"/>
    <cellStyle name="40% - Accent2 9 2 2" xfId="3201"/>
    <cellStyle name="40% - Accent2 9 2 2 2" xfId="6610"/>
    <cellStyle name="40% - Accent2 9 2 3" xfId="5612"/>
    <cellStyle name="40% - Accent2 9 3" xfId="2384"/>
    <cellStyle name="40% - Accent2 9 3 2" xfId="3471"/>
    <cellStyle name="40% - Accent2 9 3 2 2" xfId="6880"/>
    <cellStyle name="40% - Accent2 9 3 3" xfId="5882"/>
    <cellStyle name="40% - Accent2 9 4" xfId="1954"/>
    <cellStyle name="40% - Accent2 9 4 2" xfId="3049"/>
    <cellStyle name="40% - Accent2 9 4 2 2" xfId="6458"/>
    <cellStyle name="40% - Accent2 9 4 3" xfId="5460"/>
    <cellStyle name="40% - Accent2 9 5" xfId="1666"/>
    <cellStyle name="40% - Accent2 9 5 2" xfId="5177"/>
    <cellStyle name="40% - Accent2 9 6" xfId="2764"/>
    <cellStyle name="40% - Accent2 9 6 2" xfId="6175"/>
    <cellStyle name="40% - Accent2 9 7" xfId="3765"/>
    <cellStyle name="40% - Accent3" xfId="164"/>
    <cellStyle name="40% - Accent3 10" xfId="1208"/>
    <cellStyle name="40% - Accent3 10 2" xfId="2128"/>
    <cellStyle name="40% - Accent3 10 2 2" xfId="3218"/>
    <cellStyle name="40% - Accent3 10 2 2 2" xfId="6627"/>
    <cellStyle name="40% - Accent3 10 2 3" xfId="5629"/>
    <cellStyle name="40% - Accent3 10 3" xfId="2401"/>
    <cellStyle name="40% - Accent3 10 3 2" xfId="3488"/>
    <cellStyle name="40% - Accent3 10 3 2 2" xfId="6897"/>
    <cellStyle name="40% - Accent3 10 3 3" xfId="5899"/>
    <cellStyle name="40% - Accent3 10 4" xfId="1911"/>
    <cellStyle name="40% - Accent3 10 4 2" xfId="3006"/>
    <cellStyle name="40% - Accent3 10 4 2 2" xfId="6415"/>
    <cellStyle name="40% - Accent3 10 4 3" xfId="5417"/>
    <cellStyle name="40% - Accent3 10 5" xfId="1683"/>
    <cellStyle name="40% - Accent3 10 5 2" xfId="5194"/>
    <cellStyle name="40% - Accent3 10 6" xfId="2781"/>
    <cellStyle name="40% - Accent3 10 6 2" xfId="6192"/>
    <cellStyle name="40% - Accent3 10 7" xfId="3722"/>
    <cellStyle name="40% - Accent3 11" xfId="1467"/>
    <cellStyle name="40% - Accent3 11 2" xfId="2506"/>
    <cellStyle name="40% - Accent3 11 2 2" xfId="3591"/>
    <cellStyle name="40% - Accent3 11 2 2 2" xfId="7000"/>
    <cellStyle name="40% - Accent3 11 2 3" xfId="6002"/>
    <cellStyle name="40% - Accent3 11 3" xfId="2231"/>
    <cellStyle name="40% - Accent3 11 3 2" xfId="3321"/>
    <cellStyle name="40% - Accent3 11 3 2 2" xfId="6730"/>
    <cellStyle name="40% - Accent3 11 3 3" xfId="5732"/>
    <cellStyle name="40% - Accent3 11 4" xfId="1787"/>
    <cellStyle name="40% - Accent3 11 4 2" xfId="5297"/>
    <cellStyle name="40% - Accent3 11 5" xfId="2886"/>
    <cellStyle name="40% - Accent3 11 5 2" xfId="6295"/>
    <cellStyle name="40% - Accent3 11 6" xfId="4997"/>
    <cellStyle name="40% - Accent3 12" xfId="2064"/>
    <cellStyle name="40% - Accent3 12 2" xfId="3156"/>
    <cellStyle name="40% - Accent3 12 2 2" xfId="6565"/>
    <cellStyle name="40% - Accent3 12 3" xfId="5567"/>
    <cellStyle name="40% - Accent3 13" xfId="2338"/>
    <cellStyle name="40% - Accent3 13 2" xfId="3426"/>
    <cellStyle name="40% - Accent3 13 2 2" xfId="6835"/>
    <cellStyle name="40% - Accent3 13 3" xfId="5837"/>
    <cellStyle name="40% - Accent3 14" xfId="1895"/>
    <cellStyle name="40% - Accent3 14 2" xfId="2991"/>
    <cellStyle name="40% - Accent3 14 2 2" xfId="6400"/>
    <cellStyle name="40% - Accent3 14 3" xfId="5402"/>
    <cellStyle name="40% - Accent3 15" xfId="1619"/>
    <cellStyle name="40% - Accent3 15 2" xfId="2714"/>
    <cellStyle name="40% - Accent3 15 2 2" xfId="6130"/>
    <cellStyle name="40% - Accent3 15 3" xfId="5132"/>
    <cellStyle name="40% - Accent3 16" xfId="1576"/>
    <cellStyle name="40% - Accent3 16 2" xfId="5102"/>
    <cellStyle name="40% - Accent3 17" xfId="2628"/>
    <cellStyle name="40% - Accent3 17 2" xfId="6107"/>
    <cellStyle name="40% - Accent3 18" xfId="3707"/>
    <cellStyle name="40% - Accent3 19" xfId="517"/>
    <cellStyle name="40% - Accent3 2" xfId="369"/>
    <cellStyle name="40% - Accent3 2 2" xfId="581"/>
    <cellStyle name="40% - Accent3 2 2 2" xfId="4013"/>
    <cellStyle name="40% - Accent3 2 2 2 2" xfId="4228"/>
    <cellStyle name="40% - Accent3 2 2 2 2 2" xfId="4374"/>
    <cellStyle name="40% - Accent3 2 2 2 3" xfId="4375"/>
    <cellStyle name="40% - Accent3 2 2 3" xfId="4128"/>
    <cellStyle name="40% - Accent3 2 2 3 2" xfId="4229"/>
    <cellStyle name="40% - Accent3 2 2 3 2 2" xfId="4376"/>
    <cellStyle name="40% - Accent3 2 2 3 3" xfId="4377"/>
    <cellStyle name="40% - Accent3 2 2 4" xfId="4378"/>
    <cellStyle name="40% - Accent3 2 3" xfId="4014"/>
    <cellStyle name="40% - Accent3 2 4" xfId="4379"/>
    <cellStyle name="40% - Accent3 2 5" xfId="3921"/>
    <cellStyle name="40% - Accent3 3" xfId="582"/>
    <cellStyle name="40% - Accent3 4" xfId="583"/>
    <cellStyle name="40% - Accent3 5" xfId="1115"/>
    <cellStyle name="40% - Accent3 5 10" xfId="2748"/>
    <cellStyle name="40% - Accent3 5 10 2" xfId="6160"/>
    <cellStyle name="40% - Accent3 5 11" xfId="3752"/>
    <cellStyle name="40% - Accent3 5 2" xfId="1406"/>
    <cellStyle name="40% - Accent3 5 2 2" xfId="1557"/>
    <cellStyle name="40% - Accent3 5 2 2 2" xfId="2596"/>
    <cellStyle name="40% - Accent3 5 2 2 2 2" xfId="3681"/>
    <cellStyle name="40% - Accent3 5 2 2 2 2 2" xfId="7090"/>
    <cellStyle name="40% - Accent3 5 2 2 2 3" xfId="6092"/>
    <cellStyle name="40% - Accent3 5 2 2 3" xfId="2321"/>
    <cellStyle name="40% - Accent3 5 2 2 3 2" xfId="3411"/>
    <cellStyle name="40% - Accent3 5 2 2 3 2 2" xfId="6820"/>
    <cellStyle name="40% - Accent3 5 2 2 3 3" xfId="5822"/>
    <cellStyle name="40% - Accent3 5 2 2 4" xfId="1877"/>
    <cellStyle name="40% - Accent3 5 2 2 4 2" xfId="5387"/>
    <cellStyle name="40% - Accent3 5 2 2 5" xfId="2976"/>
    <cellStyle name="40% - Accent3 5 2 2 5 2" xfId="6385"/>
    <cellStyle name="40% - Accent3 5 2 2 6" xfId="5087"/>
    <cellStyle name="40% - Accent3 5 2 3" xfId="2211"/>
    <cellStyle name="40% - Accent3 5 2 3 2" xfId="3301"/>
    <cellStyle name="40% - Accent3 5 2 3 2 2" xfId="6710"/>
    <cellStyle name="40% - Accent3 5 2 3 3" xfId="5712"/>
    <cellStyle name="40% - Accent3 5 2 4" xfId="2486"/>
    <cellStyle name="40% - Accent3 5 2 4 2" xfId="3571"/>
    <cellStyle name="40% - Accent3 5 2 4 2 2" xfId="6980"/>
    <cellStyle name="40% - Accent3 5 2 4 3" xfId="5982"/>
    <cellStyle name="40% - Accent3 5 2 5" xfId="2046"/>
    <cellStyle name="40% - Accent3 5 2 5 2" xfId="3141"/>
    <cellStyle name="40% - Accent3 5 2 5 2 2" xfId="6550"/>
    <cellStyle name="40% - Accent3 5 2 5 3" xfId="5552"/>
    <cellStyle name="40% - Accent3 5 2 6" xfId="1767"/>
    <cellStyle name="40% - Accent3 5 2 6 2" xfId="5277"/>
    <cellStyle name="40% - Accent3 5 2 7" xfId="2866"/>
    <cellStyle name="40% - Accent3 5 2 7 2" xfId="6275"/>
    <cellStyle name="40% - Accent3 5 2 8" xfId="3857"/>
    <cellStyle name="40% - Accent3 5 3" xfId="1349"/>
    <cellStyle name="40% - Accent3 5 3 2" xfId="2166"/>
    <cellStyle name="40% - Accent3 5 3 2 2" xfId="3256"/>
    <cellStyle name="40% - Accent3 5 3 2 2 2" xfId="6665"/>
    <cellStyle name="40% - Accent3 5 3 2 3" xfId="5667"/>
    <cellStyle name="40% - Accent3 5 3 3" xfId="2441"/>
    <cellStyle name="40% - Accent3 5 3 3 2" xfId="3526"/>
    <cellStyle name="40% - Accent3 5 3 3 2 2" xfId="6935"/>
    <cellStyle name="40% - Accent3 5 3 3 3" xfId="5937"/>
    <cellStyle name="40% - Accent3 5 3 4" xfId="2001"/>
    <cellStyle name="40% - Accent3 5 3 4 2" xfId="3096"/>
    <cellStyle name="40% - Accent3 5 3 4 2 2" xfId="6505"/>
    <cellStyle name="40% - Accent3 5 3 4 3" xfId="5507"/>
    <cellStyle name="40% - Accent3 5 3 5" xfId="1722"/>
    <cellStyle name="40% - Accent3 5 3 5 2" xfId="5232"/>
    <cellStyle name="40% - Accent3 5 3 6" xfId="2821"/>
    <cellStyle name="40% - Accent3 5 3 6 2" xfId="6230"/>
    <cellStyle name="40% - Accent3 5 3 7" xfId="3812"/>
    <cellStyle name="40% - Accent3 5 4" xfId="1497"/>
    <cellStyle name="40% - Accent3 5 4 2" xfId="2536"/>
    <cellStyle name="40% - Accent3 5 4 2 2" xfId="3621"/>
    <cellStyle name="40% - Accent3 5 4 2 2 2" xfId="7030"/>
    <cellStyle name="40% - Accent3 5 4 2 3" xfId="6032"/>
    <cellStyle name="40% - Accent3 5 4 3" xfId="2261"/>
    <cellStyle name="40% - Accent3 5 4 3 2" xfId="3351"/>
    <cellStyle name="40% - Accent3 5 4 3 2 2" xfId="6760"/>
    <cellStyle name="40% - Accent3 5 4 3 3" xfId="5762"/>
    <cellStyle name="40% - Accent3 5 4 4" xfId="1817"/>
    <cellStyle name="40% - Accent3 5 4 4 2" xfId="5327"/>
    <cellStyle name="40% - Accent3 5 4 5" xfId="2916"/>
    <cellStyle name="40% - Accent3 5 4 5 2" xfId="6325"/>
    <cellStyle name="40% - Accent3 5 4 6" xfId="5027"/>
    <cellStyle name="40% - Accent3 5 5" xfId="2096"/>
    <cellStyle name="40% - Accent3 5 5 2" xfId="3186"/>
    <cellStyle name="40% - Accent3 5 5 2 2" xfId="6595"/>
    <cellStyle name="40% - Accent3 5 5 3" xfId="5597"/>
    <cellStyle name="40% - Accent3 5 6" xfId="2369"/>
    <cellStyle name="40% - Accent3 5 6 2" xfId="3456"/>
    <cellStyle name="40% - Accent3 5 6 2 2" xfId="6865"/>
    <cellStyle name="40% - Accent3 5 6 3" xfId="5867"/>
    <cellStyle name="40% - Accent3 5 7" xfId="1941"/>
    <cellStyle name="40% - Accent3 5 7 2" xfId="3036"/>
    <cellStyle name="40% - Accent3 5 7 2 2" xfId="6445"/>
    <cellStyle name="40% - Accent3 5 7 3" xfId="5447"/>
    <cellStyle name="40% - Accent3 5 8" xfId="1650"/>
    <cellStyle name="40% - Accent3 5 8 2" xfId="5162"/>
    <cellStyle name="40% - Accent3 5 9" xfId="1598"/>
    <cellStyle name="40% - Accent3 5 9 2" xfId="5117"/>
    <cellStyle name="40% - Accent3 6" xfId="1030"/>
    <cellStyle name="40% - Accent3 6 10" xfId="3737"/>
    <cellStyle name="40% - Accent3 6 2" xfId="1391"/>
    <cellStyle name="40% - Accent3 6 2 2" xfId="1542"/>
    <cellStyle name="40% - Accent3 6 2 2 2" xfId="2581"/>
    <cellStyle name="40% - Accent3 6 2 2 2 2" xfId="3666"/>
    <cellStyle name="40% - Accent3 6 2 2 2 2 2" xfId="7075"/>
    <cellStyle name="40% - Accent3 6 2 2 2 3" xfId="6077"/>
    <cellStyle name="40% - Accent3 6 2 2 3" xfId="2306"/>
    <cellStyle name="40% - Accent3 6 2 2 3 2" xfId="3396"/>
    <cellStyle name="40% - Accent3 6 2 2 3 2 2" xfId="6805"/>
    <cellStyle name="40% - Accent3 6 2 2 3 3" xfId="5807"/>
    <cellStyle name="40% - Accent3 6 2 2 4" xfId="1862"/>
    <cellStyle name="40% - Accent3 6 2 2 4 2" xfId="5372"/>
    <cellStyle name="40% - Accent3 6 2 2 5" xfId="2961"/>
    <cellStyle name="40% - Accent3 6 2 2 5 2" xfId="6370"/>
    <cellStyle name="40% - Accent3 6 2 2 6" xfId="5072"/>
    <cellStyle name="40% - Accent3 6 2 3" xfId="2196"/>
    <cellStyle name="40% - Accent3 6 2 3 2" xfId="3286"/>
    <cellStyle name="40% - Accent3 6 2 3 2 2" xfId="6695"/>
    <cellStyle name="40% - Accent3 6 2 3 3" xfId="5697"/>
    <cellStyle name="40% - Accent3 6 2 4" xfId="2471"/>
    <cellStyle name="40% - Accent3 6 2 4 2" xfId="3556"/>
    <cellStyle name="40% - Accent3 6 2 4 2 2" xfId="6965"/>
    <cellStyle name="40% - Accent3 6 2 4 3" xfId="5967"/>
    <cellStyle name="40% - Accent3 6 2 5" xfId="2031"/>
    <cellStyle name="40% - Accent3 6 2 5 2" xfId="3126"/>
    <cellStyle name="40% - Accent3 6 2 5 2 2" xfId="6535"/>
    <cellStyle name="40% - Accent3 6 2 5 3" xfId="5537"/>
    <cellStyle name="40% - Accent3 6 2 6" xfId="1752"/>
    <cellStyle name="40% - Accent3 6 2 6 2" xfId="5262"/>
    <cellStyle name="40% - Accent3 6 2 7" xfId="2851"/>
    <cellStyle name="40% - Accent3 6 2 7 2" xfId="6260"/>
    <cellStyle name="40% - Accent3 6 2 8" xfId="3842"/>
    <cellStyle name="40% - Accent3 6 3" xfId="1323"/>
    <cellStyle name="40% - Accent3 6 3 2" xfId="2150"/>
    <cellStyle name="40% - Accent3 6 3 2 2" xfId="3240"/>
    <cellStyle name="40% - Accent3 6 3 2 2 2" xfId="6649"/>
    <cellStyle name="40% - Accent3 6 3 2 3" xfId="5651"/>
    <cellStyle name="40% - Accent3 6 3 3" xfId="2425"/>
    <cellStyle name="40% - Accent3 6 3 3 2" xfId="3510"/>
    <cellStyle name="40% - Accent3 6 3 3 2 2" xfId="6919"/>
    <cellStyle name="40% - Accent3 6 3 3 3" xfId="5921"/>
    <cellStyle name="40% - Accent3 6 3 4" xfId="1986"/>
    <cellStyle name="40% - Accent3 6 3 4 2" xfId="3081"/>
    <cellStyle name="40% - Accent3 6 3 4 2 2" xfId="6490"/>
    <cellStyle name="40% - Accent3 6 3 4 3" xfId="5492"/>
    <cellStyle name="40% - Accent3 6 3 5" xfId="1706"/>
    <cellStyle name="40% - Accent3 6 3 5 2" xfId="5216"/>
    <cellStyle name="40% - Accent3 6 3 6" xfId="2805"/>
    <cellStyle name="40% - Accent3 6 3 6 2" xfId="6214"/>
    <cellStyle name="40% - Accent3 6 3 7" xfId="3797"/>
    <cellStyle name="40% - Accent3 6 4" xfId="1482"/>
    <cellStyle name="40% - Accent3 6 4 2" xfId="2521"/>
    <cellStyle name="40% - Accent3 6 4 2 2" xfId="3606"/>
    <cellStyle name="40% - Accent3 6 4 2 2 2" xfId="7015"/>
    <cellStyle name="40% - Accent3 6 4 2 3" xfId="6017"/>
    <cellStyle name="40% - Accent3 6 4 3" xfId="2246"/>
    <cellStyle name="40% - Accent3 6 4 3 2" xfId="3336"/>
    <cellStyle name="40% - Accent3 6 4 3 2 2" xfId="6745"/>
    <cellStyle name="40% - Accent3 6 4 3 3" xfId="5747"/>
    <cellStyle name="40% - Accent3 6 4 4" xfId="1802"/>
    <cellStyle name="40% - Accent3 6 4 4 2" xfId="5312"/>
    <cellStyle name="40% - Accent3 6 4 5" xfId="2901"/>
    <cellStyle name="40% - Accent3 6 4 5 2" xfId="6310"/>
    <cellStyle name="40% - Accent3 6 4 6" xfId="5012"/>
    <cellStyle name="40% - Accent3 6 5" xfId="2080"/>
    <cellStyle name="40% - Accent3 6 5 2" xfId="3171"/>
    <cellStyle name="40% - Accent3 6 5 2 2" xfId="6580"/>
    <cellStyle name="40% - Accent3 6 5 3" xfId="5582"/>
    <cellStyle name="40% - Accent3 6 6" xfId="2354"/>
    <cellStyle name="40% - Accent3 6 6 2" xfId="3441"/>
    <cellStyle name="40% - Accent3 6 6 2 2" xfId="6850"/>
    <cellStyle name="40% - Accent3 6 6 3" xfId="5852"/>
    <cellStyle name="40% - Accent3 6 7" xfId="1926"/>
    <cellStyle name="40% - Accent3 6 7 2" xfId="3021"/>
    <cellStyle name="40% - Accent3 6 7 2 2" xfId="6430"/>
    <cellStyle name="40% - Accent3 6 7 3" xfId="5432"/>
    <cellStyle name="40% - Accent3 6 8" xfId="1635"/>
    <cellStyle name="40% - Accent3 6 8 2" xfId="5147"/>
    <cellStyle name="40% - Accent3 6 9" xfId="2730"/>
    <cellStyle name="40% - Accent3 6 9 2" xfId="6145"/>
    <cellStyle name="40% - Accent3 7" xfId="1298"/>
    <cellStyle name="40% - Accent3 7 2" xfId="1512"/>
    <cellStyle name="40% - Accent3 7 2 2" xfId="2551"/>
    <cellStyle name="40% - Accent3 7 2 2 2" xfId="3636"/>
    <cellStyle name="40% - Accent3 7 2 2 2 2" xfId="7045"/>
    <cellStyle name="40% - Accent3 7 2 2 3" xfId="6047"/>
    <cellStyle name="40% - Accent3 7 2 3" xfId="2276"/>
    <cellStyle name="40% - Accent3 7 2 3 2" xfId="3366"/>
    <cellStyle name="40% - Accent3 7 2 3 2 2" xfId="6775"/>
    <cellStyle name="40% - Accent3 7 2 3 3" xfId="5777"/>
    <cellStyle name="40% - Accent3 7 2 4" xfId="1832"/>
    <cellStyle name="40% - Accent3 7 2 4 2" xfId="5342"/>
    <cellStyle name="40% - Accent3 7 2 5" xfId="2931"/>
    <cellStyle name="40% - Accent3 7 2 5 2" xfId="6340"/>
    <cellStyle name="40% - Accent3 7 2 6" xfId="5042"/>
    <cellStyle name="40% - Accent3 7 3" xfId="2135"/>
    <cellStyle name="40% - Accent3 7 3 2" xfId="3225"/>
    <cellStyle name="40% - Accent3 7 3 2 2" xfId="6634"/>
    <cellStyle name="40% - Accent3 7 3 3" xfId="5636"/>
    <cellStyle name="40% - Accent3 7 4" xfId="2410"/>
    <cellStyle name="40% - Accent3 7 4 2" xfId="3495"/>
    <cellStyle name="40% - Accent3 7 4 2 2" xfId="6904"/>
    <cellStyle name="40% - Accent3 7 4 3" xfId="5906"/>
    <cellStyle name="40% - Accent3 7 5" xfId="1971"/>
    <cellStyle name="40% - Accent3 7 5 2" xfId="3066"/>
    <cellStyle name="40% - Accent3 7 5 2 2" xfId="6475"/>
    <cellStyle name="40% - Accent3 7 5 3" xfId="5477"/>
    <cellStyle name="40% - Accent3 7 6" xfId="1690"/>
    <cellStyle name="40% - Accent3 7 6 2" xfId="5201"/>
    <cellStyle name="40% - Accent3 7 7" xfId="2789"/>
    <cellStyle name="40% - Accent3 7 7 2" xfId="6199"/>
    <cellStyle name="40% - Accent3 7 8" xfId="3782"/>
    <cellStyle name="40% - Accent3 8" xfId="1370"/>
    <cellStyle name="40% - Accent3 8 2" xfId="1527"/>
    <cellStyle name="40% - Accent3 8 2 2" xfId="2566"/>
    <cellStyle name="40% - Accent3 8 2 2 2" xfId="3651"/>
    <cellStyle name="40% - Accent3 8 2 2 2 2" xfId="7060"/>
    <cellStyle name="40% - Accent3 8 2 2 3" xfId="6062"/>
    <cellStyle name="40% - Accent3 8 2 3" xfId="2291"/>
    <cellStyle name="40% - Accent3 8 2 3 2" xfId="3381"/>
    <cellStyle name="40% - Accent3 8 2 3 2 2" xfId="6790"/>
    <cellStyle name="40% - Accent3 8 2 3 3" xfId="5792"/>
    <cellStyle name="40% - Accent3 8 2 4" xfId="1847"/>
    <cellStyle name="40% - Accent3 8 2 4 2" xfId="5357"/>
    <cellStyle name="40% - Accent3 8 2 5" xfId="2946"/>
    <cellStyle name="40% - Accent3 8 2 5 2" xfId="6355"/>
    <cellStyle name="40% - Accent3 8 2 6" xfId="5057"/>
    <cellStyle name="40% - Accent3 8 3" xfId="2181"/>
    <cellStyle name="40% - Accent3 8 3 2" xfId="3271"/>
    <cellStyle name="40% - Accent3 8 3 2 2" xfId="6680"/>
    <cellStyle name="40% - Accent3 8 3 3" xfId="5682"/>
    <cellStyle name="40% - Accent3 8 4" xfId="2456"/>
    <cellStyle name="40% - Accent3 8 4 2" xfId="3541"/>
    <cellStyle name="40% - Accent3 8 4 2 2" xfId="6950"/>
    <cellStyle name="40% - Accent3 8 4 3" xfId="5952"/>
    <cellStyle name="40% - Accent3 8 5" xfId="2016"/>
    <cellStyle name="40% - Accent3 8 5 2" xfId="3111"/>
    <cellStyle name="40% - Accent3 8 5 2 2" xfId="6520"/>
    <cellStyle name="40% - Accent3 8 5 3" xfId="5522"/>
    <cellStyle name="40% - Accent3 8 6" xfId="1737"/>
    <cellStyle name="40% - Accent3 8 6 2" xfId="5247"/>
    <cellStyle name="40% - Accent3 8 7" xfId="2836"/>
    <cellStyle name="40% - Accent3 8 7 2" xfId="6245"/>
    <cellStyle name="40% - Accent3 8 8" xfId="3827"/>
    <cellStyle name="40% - Accent3 9" xfId="1168"/>
    <cellStyle name="40% - Accent3 9 2" xfId="2113"/>
    <cellStyle name="40% - Accent3 9 2 2" xfId="3203"/>
    <cellStyle name="40% - Accent3 9 2 2 2" xfId="6612"/>
    <cellStyle name="40% - Accent3 9 2 3" xfId="5614"/>
    <cellStyle name="40% - Accent3 9 3" xfId="2386"/>
    <cellStyle name="40% - Accent3 9 3 2" xfId="3473"/>
    <cellStyle name="40% - Accent3 9 3 2 2" xfId="6882"/>
    <cellStyle name="40% - Accent3 9 3 3" xfId="5884"/>
    <cellStyle name="40% - Accent3 9 4" xfId="1956"/>
    <cellStyle name="40% - Accent3 9 4 2" xfId="3051"/>
    <cellStyle name="40% - Accent3 9 4 2 2" xfId="6460"/>
    <cellStyle name="40% - Accent3 9 4 3" xfId="5462"/>
    <cellStyle name="40% - Accent3 9 5" xfId="1668"/>
    <cellStyle name="40% - Accent3 9 5 2" xfId="5179"/>
    <cellStyle name="40% - Accent3 9 6" xfId="2766"/>
    <cellStyle name="40% - Accent3 9 6 2" xfId="6177"/>
    <cellStyle name="40% - Accent3 9 7" xfId="3767"/>
    <cellStyle name="40% - Accent4" xfId="165"/>
    <cellStyle name="40% - Accent4 10" xfId="1425"/>
    <cellStyle name="40% - Accent4 10 2" xfId="2222"/>
    <cellStyle name="40% - Accent4 10 2 2" xfId="3312"/>
    <cellStyle name="40% - Accent4 10 2 2 2" xfId="6721"/>
    <cellStyle name="40% - Accent4 10 2 3" xfId="5723"/>
    <cellStyle name="40% - Accent4 10 3" xfId="2497"/>
    <cellStyle name="40% - Accent4 10 3 2" xfId="3582"/>
    <cellStyle name="40% - Accent4 10 3 2 2" xfId="6991"/>
    <cellStyle name="40% - Accent4 10 3 3" xfId="5993"/>
    <cellStyle name="40% - Accent4 10 4" xfId="1913"/>
    <cellStyle name="40% - Accent4 10 4 2" xfId="3008"/>
    <cellStyle name="40% - Accent4 10 4 2 2" xfId="6417"/>
    <cellStyle name="40% - Accent4 10 4 3" xfId="5419"/>
    <cellStyle name="40% - Accent4 10 5" xfId="1778"/>
    <cellStyle name="40% - Accent4 10 5 2" xfId="5288"/>
    <cellStyle name="40% - Accent4 10 6" xfId="2877"/>
    <cellStyle name="40% - Accent4 10 6 2" xfId="6286"/>
    <cellStyle name="40% - Accent4 10 7" xfId="3724"/>
    <cellStyle name="40% - Accent4 11" xfId="1469"/>
    <cellStyle name="40% - Accent4 11 2" xfId="2508"/>
    <cellStyle name="40% - Accent4 11 2 2" xfId="3593"/>
    <cellStyle name="40% - Accent4 11 2 2 2" xfId="7002"/>
    <cellStyle name="40% - Accent4 11 2 3" xfId="6004"/>
    <cellStyle name="40% - Accent4 11 3" xfId="2233"/>
    <cellStyle name="40% - Accent4 11 3 2" xfId="3323"/>
    <cellStyle name="40% - Accent4 11 3 2 2" xfId="6732"/>
    <cellStyle name="40% - Accent4 11 3 3" xfId="5734"/>
    <cellStyle name="40% - Accent4 11 4" xfId="1789"/>
    <cellStyle name="40% - Accent4 11 4 2" xfId="5299"/>
    <cellStyle name="40% - Accent4 11 5" xfId="2888"/>
    <cellStyle name="40% - Accent4 11 5 2" xfId="6297"/>
    <cellStyle name="40% - Accent4 11 6" xfId="4999"/>
    <cellStyle name="40% - Accent4 12" xfId="2066"/>
    <cellStyle name="40% - Accent4 12 2" xfId="3158"/>
    <cellStyle name="40% - Accent4 12 2 2" xfId="6567"/>
    <cellStyle name="40% - Accent4 12 3" xfId="5569"/>
    <cellStyle name="40% - Accent4 13" xfId="2340"/>
    <cellStyle name="40% - Accent4 13 2" xfId="3428"/>
    <cellStyle name="40% - Accent4 13 2 2" xfId="6837"/>
    <cellStyle name="40% - Accent4 13 3" xfId="5839"/>
    <cellStyle name="40% - Accent4 14" xfId="1897"/>
    <cellStyle name="40% - Accent4 14 2" xfId="2993"/>
    <cellStyle name="40% - Accent4 14 2 2" xfId="6402"/>
    <cellStyle name="40% - Accent4 14 3" xfId="5404"/>
    <cellStyle name="40% - Accent4 15" xfId="1621"/>
    <cellStyle name="40% - Accent4 15 2" xfId="2716"/>
    <cellStyle name="40% - Accent4 15 2 2" xfId="6132"/>
    <cellStyle name="40% - Accent4 15 3" xfId="5134"/>
    <cellStyle name="40% - Accent4 16" xfId="1578"/>
    <cellStyle name="40% - Accent4 16 2" xfId="5104"/>
    <cellStyle name="40% - Accent4 17" xfId="2630"/>
    <cellStyle name="40% - Accent4 17 2" xfId="6109"/>
    <cellStyle name="40% - Accent4 18" xfId="3709"/>
    <cellStyle name="40% - Accent4 19" xfId="521"/>
    <cellStyle name="40% - Accent4 2" xfId="370"/>
    <cellStyle name="40% - Accent4 2 2" xfId="584"/>
    <cellStyle name="40% - Accent4 2 2 2" xfId="4015"/>
    <cellStyle name="40% - Accent4 2 2 2 2" xfId="4230"/>
    <cellStyle name="40% - Accent4 2 2 2 2 2" xfId="4380"/>
    <cellStyle name="40% - Accent4 2 2 2 3" xfId="4381"/>
    <cellStyle name="40% - Accent4 2 2 3" xfId="4129"/>
    <cellStyle name="40% - Accent4 2 2 3 2" xfId="4231"/>
    <cellStyle name="40% - Accent4 2 2 3 2 2" xfId="4382"/>
    <cellStyle name="40% - Accent4 2 2 3 3" xfId="4383"/>
    <cellStyle name="40% - Accent4 2 2 4" xfId="4384"/>
    <cellStyle name="40% - Accent4 2 3" xfId="4016"/>
    <cellStyle name="40% - Accent4 2 4" xfId="4385"/>
    <cellStyle name="40% - Accent4 2 5" xfId="3922"/>
    <cellStyle name="40% - Accent4 3" xfId="585"/>
    <cellStyle name="40% - Accent4 4" xfId="586"/>
    <cellStyle name="40% - Accent4 5" xfId="1117"/>
    <cellStyle name="40% - Accent4 5 10" xfId="2750"/>
    <cellStyle name="40% - Accent4 5 10 2" xfId="6162"/>
    <cellStyle name="40% - Accent4 5 11" xfId="3754"/>
    <cellStyle name="40% - Accent4 5 2" xfId="1408"/>
    <cellStyle name="40% - Accent4 5 2 2" xfId="1559"/>
    <cellStyle name="40% - Accent4 5 2 2 2" xfId="2598"/>
    <cellStyle name="40% - Accent4 5 2 2 2 2" xfId="3683"/>
    <cellStyle name="40% - Accent4 5 2 2 2 2 2" xfId="7092"/>
    <cellStyle name="40% - Accent4 5 2 2 2 3" xfId="6094"/>
    <cellStyle name="40% - Accent4 5 2 2 3" xfId="2323"/>
    <cellStyle name="40% - Accent4 5 2 2 3 2" xfId="3413"/>
    <cellStyle name="40% - Accent4 5 2 2 3 2 2" xfId="6822"/>
    <cellStyle name="40% - Accent4 5 2 2 3 3" xfId="5824"/>
    <cellStyle name="40% - Accent4 5 2 2 4" xfId="1879"/>
    <cellStyle name="40% - Accent4 5 2 2 4 2" xfId="5389"/>
    <cellStyle name="40% - Accent4 5 2 2 5" xfId="2978"/>
    <cellStyle name="40% - Accent4 5 2 2 5 2" xfId="6387"/>
    <cellStyle name="40% - Accent4 5 2 2 6" xfId="5089"/>
    <cellStyle name="40% - Accent4 5 2 3" xfId="2213"/>
    <cellStyle name="40% - Accent4 5 2 3 2" xfId="3303"/>
    <cellStyle name="40% - Accent4 5 2 3 2 2" xfId="6712"/>
    <cellStyle name="40% - Accent4 5 2 3 3" xfId="5714"/>
    <cellStyle name="40% - Accent4 5 2 4" xfId="2488"/>
    <cellStyle name="40% - Accent4 5 2 4 2" xfId="3573"/>
    <cellStyle name="40% - Accent4 5 2 4 2 2" xfId="6982"/>
    <cellStyle name="40% - Accent4 5 2 4 3" xfId="5984"/>
    <cellStyle name="40% - Accent4 5 2 5" xfId="2048"/>
    <cellStyle name="40% - Accent4 5 2 5 2" xfId="3143"/>
    <cellStyle name="40% - Accent4 5 2 5 2 2" xfId="6552"/>
    <cellStyle name="40% - Accent4 5 2 5 3" xfId="5554"/>
    <cellStyle name="40% - Accent4 5 2 6" xfId="1769"/>
    <cellStyle name="40% - Accent4 5 2 6 2" xfId="5279"/>
    <cellStyle name="40% - Accent4 5 2 7" xfId="2868"/>
    <cellStyle name="40% - Accent4 5 2 7 2" xfId="6277"/>
    <cellStyle name="40% - Accent4 5 2 8" xfId="3859"/>
    <cellStyle name="40% - Accent4 5 3" xfId="1351"/>
    <cellStyle name="40% - Accent4 5 3 2" xfId="2168"/>
    <cellStyle name="40% - Accent4 5 3 2 2" xfId="3258"/>
    <cellStyle name="40% - Accent4 5 3 2 2 2" xfId="6667"/>
    <cellStyle name="40% - Accent4 5 3 2 3" xfId="5669"/>
    <cellStyle name="40% - Accent4 5 3 3" xfId="2443"/>
    <cellStyle name="40% - Accent4 5 3 3 2" xfId="3528"/>
    <cellStyle name="40% - Accent4 5 3 3 2 2" xfId="6937"/>
    <cellStyle name="40% - Accent4 5 3 3 3" xfId="5939"/>
    <cellStyle name="40% - Accent4 5 3 4" xfId="2003"/>
    <cellStyle name="40% - Accent4 5 3 4 2" xfId="3098"/>
    <cellStyle name="40% - Accent4 5 3 4 2 2" xfId="6507"/>
    <cellStyle name="40% - Accent4 5 3 4 3" xfId="5509"/>
    <cellStyle name="40% - Accent4 5 3 5" xfId="1724"/>
    <cellStyle name="40% - Accent4 5 3 5 2" xfId="5234"/>
    <cellStyle name="40% - Accent4 5 3 6" xfId="2823"/>
    <cellStyle name="40% - Accent4 5 3 6 2" xfId="6232"/>
    <cellStyle name="40% - Accent4 5 3 7" xfId="3814"/>
    <cellStyle name="40% - Accent4 5 4" xfId="1499"/>
    <cellStyle name="40% - Accent4 5 4 2" xfId="2538"/>
    <cellStyle name="40% - Accent4 5 4 2 2" xfId="3623"/>
    <cellStyle name="40% - Accent4 5 4 2 2 2" xfId="7032"/>
    <cellStyle name="40% - Accent4 5 4 2 3" xfId="6034"/>
    <cellStyle name="40% - Accent4 5 4 3" xfId="2263"/>
    <cellStyle name="40% - Accent4 5 4 3 2" xfId="3353"/>
    <cellStyle name="40% - Accent4 5 4 3 2 2" xfId="6762"/>
    <cellStyle name="40% - Accent4 5 4 3 3" xfId="5764"/>
    <cellStyle name="40% - Accent4 5 4 4" xfId="1819"/>
    <cellStyle name="40% - Accent4 5 4 4 2" xfId="5329"/>
    <cellStyle name="40% - Accent4 5 4 5" xfId="2918"/>
    <cellStyle name="40% - Accent4 5 4 5 2" xfId="6327"/>
    <cellStyle name="40% - Accent4 5 4 6" xfId="5029"/>
    <cellStyle name="40% - Accent4 5 5" xfId="2098"/>
    <cellStyle name="40% - Accent4 5 5 2" xfId="3188"/>
    <cellStyle name="40% - Accent4 5 5 2 2" xfId="6597"/>
    <cellStyle name="40% - Accent4 5 5 3" xfId="5599"/>
    <cellStyle name="40% - Accent4 5 6" xfId="2371"/>
    <cellStyle name="40% - Accent4 5 6 2" xfId="3458"/>
    <cellStyle name="40% - Accent4 5 6 2 2" xfId="6867"/>
    <cellStyle name="40% - Accent4 5 6 3" xfId="5869"/>
    <cellStyle name="40% - Accent4 5 7" xfId="1943"/>
    <cellStyle name="40% - Accent4 5 7 2" xfId="3038"/>
    <cellStyle name="40% - Accent4 5 7 2 2" xfId="6447"/>
    <cellStyle name="40% - Accent4 5 7 3" xfId="5449"/>
    <cellStyle name="40% - Accent4 5 8" xfId="1652"/>
    <cellStyle name="40% - Accent4 5 8 2" xfId="5164"/>
    <cellStyle name="40% - Accent4 5 9" xfId="1600"/>
    <cellStyle name="40% - Accent4 5 9 2" xfId="5119"/>
    <cellStyle name="40% - Accent4 6" xfId="1032"/>
    <cellStyle name="40% - Accent4 6 10" xfId="3739"/>
    <cellStyle name="40% - Accent4 6 2" xfId="1393"/>
    <cellStyle name="40% - Accent4 6 2 2" xfId="1544"/>
    <cellStyle name="40% - Accent4 6 2 2 2" xfId="2583"/>
    <cellStyle name="40% - Accent4 6 2 2 2 2" xfId="3668"/>
    <cellStyle name="40% - Accent4 6 2 2 2 2 2" xfId="7077"/>
    <cellStyle name="40% - Accent4 6 2 2 2 3" xfId="6079"/>
    <cellStyle name="40% - Accent4 6 2 2 3" xfId="2308"/>
    <cellStyle name="40% - Accent4 6 2 2 3 2" xfId="3398"/>
    <cellStyle name="40% - Accent4 6 2 2 3 2 2" xfId="6807"/>
    <cellStyle name="40% - Accent4 6 2 2 3 3" xfId="5809"/>
    <cellStyle name="40% - Accent4 6 2 2 4" xfId="1864"/>
    <cellStyle name="40% - Accent4 6 2 2 4 2" xfId="5374"/>
    <cellStyle name="40% - Accent4 6 2 2 5" xfId="2963"/>
    <cellStyle name="40% - Accent4 6 2 2 5 2" xfId="6372"/>
    <cellStyle name="40% - Accent4 6 2 2 6" xfId="5074"/>
    <cellStyle name="40% - Accent4 6 2 3" xfId="2198"/>
    <cellStyle name="40% - Accent4 6 2 3 2" xfId="3288"/>
    <cellStyle name="40% - Accent4 6 2 3 2 2" xfId="6697"/>
    <cellStyle name="40% - Accent4 6 2 3 3" xfId="5699"/>
    <cellStyle name="40% - Accent4 6 2 4" xfId="2473"/>
    <cellStyle name="40% - Accent4 6 2 4 2" xfId="3558"/>
    <cellStyle name="40% - Accent4 6 2 4 2 2" xfId="6967"/>
    <cellStyle name="40% - Accent4 6 2 4 3" xfId="5969"/>
    <cellStyle name="40% - Accent4 6 2 5" xfId="2033"/>
    <cellStyle name="40% - Accent4 6 2 5 2" xfId="3128"/>
    <cellStyle name="40% - Accent4 6 2 5 2 2" xfId="6537"/>
    <cellStyle name="40% - Accent4 6 2 5 3" xfId="5539"/>
    <cellStyle name="40% - Accent4 6 2 6" xfId="1754"/>
    <cellStyle name="40% - Accent4 6 2 6 2" xfId="5264"/>
    <cellStyle name="40% - Accent4 6 2 7" xfId="2853"/>
    <cellStyle name="40% - Accent4 6 2 7 2" xfId="6262"/>
    <cellStyle name="40% - Accent4 6 2 8" xfId="3844"/>
    <cellStyle name="40% - Accent4 6 3" xfId="1325"/>
    <cellStyle name="40% - Accent4 6 3 2" xfId="2152"/>
    <cellStyle name="40% - Accent4 6 3 2 2" xfId="3242"/>
    <cellStyle name="40% - Accent4 6 3 2 2 2" xfId="6651"/>
    <cellStyle name="40% - Accent4 6 3 2 3" xfId="5653"/>
    <cellStyle name="40% - Accent4 6 3 3" xfId="2427"/>
    <cellStyle name="40% - Accent4 6 3 3 2" xfId="3512"/>
    <cellStyle name="40% - Accent4 6 3 3 2 2" xfId="6921"/>
    <cellStyle name="40% - Accent4 6 3 3 3" xfId="5923"/>
    <cellStyle name="40% - Accent4 6 3 4" xfId="1988"/>
    <cellStyle name="40% - Accent4 6 3 4 2" xfId="3083"/>
    <cellStyle name="40% - Accent4 6 3 4 2 2" xfId="6492"/>
    <cellStyle name="40% - Accent4 6 3 4 3" xfId="5494"/>
    <cellStyle name="40% - Accent4 6 3 5" xfId="1708"/>
    <cellStyle name="40% - Accent4 6 3 5 2" xfId="5218"/>
    <cellStyle name="40% - Accent4 6 3 6" xfId="2807"/>
    <cellStyle name="40% - Accent4 6 3 6 2" xfId="6216"/>
    <cellStyle name="40% - Accent4 6 3 7" xfId="3799"/>
    <cellStyle name="40% - Accent4 6 4" xfId="1484"/>
    <cellStyle name="40% - Accent4 6 4 2" xfId="2523"/>
    <cellStyle name="40% - Accent4 6 4 2 2" xfId="3608"/>
    <cellStyle name="40% - Accent4 6 4 2 2 2" xfId="7017"/>
    <cellStyle name="40% - Accent4 6 4 2 3" xfId="6019"/>
    <cellStyle name="40% - Accent4 6 4 3" xfId="2248"/>
    <cellStyle name="40% - Accent4 6 4 3 2" xfId="3338"/>
    <cellStyle name="40% - Accent4 6 4 3 2 2" xfId="6747"/>
    <cellStyle name="40% - Accent4 6 4 3 3" xfId="5749"/>
    <cellStyle name="40% - Accent4 6 4 4" xfId="1804"/>
    <cellStyle name="40% - Accent4 6 4 4 2" xfId="5314"/>
    <cellStyle name="40% - Accent4 6 4 5" xfId="2903"/>
    <cellStyle name="40% - Accent4 6 4 5 2" xfId="6312"/>
    <cellStyle name="40% - Accent4 6 4 6" xfId="5014"/>
    <cellStyle name="40% - Accent4 6 5" xfId="2082"/>
    <cellStyle name="40% - Accent4 6 5 2" xfId="3173"/>
    <cellStyle name="40% - Accent4 6 5 2 2" xfId="6582"/>
    <cellStyle name="40% - Accent4 6 5 3" xfId="5584"/>
    <cellStyle name="40% - Accent4 6 6" xfId="2356"/>
    <cellStyle name="40% - Accent4 6 6 2" xfId="3443"/>
    <cellStyle name="40% - Accent4 6 6 2 2" xfId="6852"/>
    <cellStyle name="40% - Accent4 6 6 3" xfId="5854"/>
    <cellStyle name="40% - Accent4 6 7" xfId="1928"/>
    <cellStyle name="40% - Accent4 6 7 2" xfId="3023"/>
    <cellStyle name="40% - Accent4 6 7 2 2" xfId="6432"/>
    <cellStyle name="40% - Accent4 6 7 3" xfId="5434"/>
    <cellStyle name="40% - Accent4 6 8" xfId="1637"/>
    <cellStyle name="40% - Accent4 6 8 2" xfId="5149"/>
    <cellStyle name="40% - Accent4 6 9" xfId="2732"/>
    <cellStyle name="40% - Accent4 6 9 2" xfId="6147"/>
    <cellStyle name="40% - Accent4 7" xfId="1300"/>
    <cellStyle name="40% - Accent4 7 2" xfId="1514"/>
    <cellStyle name="40% - Accent4 7 2 2" xfId="2553"/>
    <cellStyle name="40% - Accent4 7 2 2 2" xfId="3638"/>
    <cellStyle name="40% - Accent4 7 2 2 2 2" xfId="7047"/>
    <cellStyle name="40% - Accent4 7 2 2 3" xfId="6049"/>
    <cellStyle name="40% - Accent4 7 2 3" xfId="2278"/>
    <cellStyle name="40% - Accent4 7 2 3 2" xfId="3368"/>
    <cellStyle name="40% - Accent4 7 2 3 2 2" xfId="6777"/>
    <cellStyle name="40% - Accent4 7 2 3 3" xfId="5779"/>
    <cellStyle name="40% - Accent4 7 2 4" xfId="1834"/>
    <cellStyle name="40% - Accent4 7 2 4 2" xfId="5344"/>
    <cellStyle name="40% - Accent4 7 2 5" xfId="2933"/>
    <cellStyle name="40% - Accent4 7 2 5 2" xfId="6342"/>
    <cellStyle name="40% - Accent4 7 2 6" xfId="5044"/>
    <cellStyle name="40% - Accent4 7 3" xfId="2137"/>
    <cellStyle name="40% - Accent4 7 3 2" xfId="3227"/>
    <cellStyle name="40% - Accent4 7 3 2 2" xfId="6636"/>
    <cellStyle name="40% - Accent4 7 3 3" xfId="5638"/>
    <cellStyle name="40% - Accent4 7 4" xfId="2412"/>
    <cellStyle name="40% - Accent4 7 4 2" xfId="3497"/>
    <cellStyle name="40% - Accent4 7 4 2 2" xfId="6906"/>
    <cellStyle name="40% - Accent4 7 4 3" xfId="5908"/>
    <cellStyle name="40% - Accent4 7 5" xfId="1973"/>
    <cellStyle name="40% - Accent4 7 5 2" xfId="3068"/>
    <cellStyle name="40% - Accent4 7 5 2 2" xfId="6477"/>
    <cellStyle name="40% - Accent4 7 5 3" xfId="5479"/>
    <cellStyle name="40% - Accent4 7 6" xfId="1692"/>
    <cellStyle name="40% - Accent4 7 6 2" xfId="5203"/>
    <cellStyle name="40% - Accent4 7 7" xfId="2791"/>
    <cellStyle name="40% - Accent4 7 7 2" xfId="6201"/>
    <cellStyle name="40% - Accent4 7 8" xfId="3784"/>
    <cellStyle name="40% - Accent4 8" xfId="1372"/>
    <cellStyle name="40% - Accent4 8 2" xfId="1529"/>
    <cellStyle name="40% - Accent4 8 2 2" xfId="2568"/>
    <cellStyle name="40% - Accent4 8 2 2 2" xfId="3653"/>
    <cellStyle name="40% - Accent4 8 2 2 2 2" xfId="7062"/>
    <cellStyle name="40% - Accent4 8 2 2 3" xfId="6064"/>
    <cellStyle name="40% - Accent4 8 2 3" xfId="2293"/>
    <cellStyle name="40% - Accent4 8 2 3 2" xfId="3383"/>
    <cellStyle name="40% - Accent4 8 2 3 2 2" xfId="6792"/>
    <cellStyle name="40% - Accent4 8 2 3 3" xfId="5794"/>
    <cellStyle name="40% - Accent4 8 2 4" xfId="1849"/>
    <cellStyle name="40% - Accent4 8 2 4 2" xfId="5359"/>
    <cellStyle name="40% - Accent4 8 2 5" xfId="2948"/>
    <cellStyle name="40% - Accent4 8 2 5 2" xfId="6357"/>
    <cellStyle name="40% - Accent4 8 2 6" xfId="5059"/>
    <cellStyle name="40% - Accent4 8 3" xfId="2183"/>
    <cellStyle name="40% - Accent4 8 3 2" xfId="3273"/>
    <cellStyle name="40% - Accent4 8 3 2 2" xfId="6682"/>
    <cellStyle name="40% - Accent4 8 3 3" xfId="5684"/>
    <cellStyle name="40% - Accent4 8 4" xfId="2458"/>
    <cellStyle name="40% - Accent4 8 4 2" xfId="3543"/>
    <cellStyle name="40% - Accent4 8 4 2 2" xfId="6952"/>
    <cellStyle name="40% - Accent4 8 4 3" xfId="5954"/>
    <cellStyle name="40% - Accent4 8 5" xfId="2018"/>
    <cellStyle name="40% - Accent4 8 5 2" xfId="3113"/>
    <cellStyle name="40% - Accent4 8 5 2 2" xfId="6522"/>
    <cellStyle name="40% - Accent4 8 5 3" xfId="5524"/>
    <cellStyle name="40% - Accent4 8 6" xfId="1739"/>
    <cellStyle name="40% - Accent4 8 6 2" xfId="5249"/>
    <cellStyle name="40% - Accent4 8 7" xfId="2838"/>
    <cellStyle name="40% - Accent4 8 7 2" xfId="6247"/>
    <cellStyle name="40% - Accent4 8 8" xfId="3829"/>
    <cellStyle name="40% - Accent4 9" xfId="1170"/>
    <cellStyle name="40% - Accent4 9 2" xfId="2115"/>
    <cellStyle name="40% - Accent4 9 2 2" xfId="3205"/>
    <cellStyle name="40% - Accent4 9 2 2 2" xfId="6614"/>
    <cellStyle name="40% - Accent4 9 2 3" xfId="5616"/>
    <cellStyle name="40% - Accent4 9 3" xfId="2388"/>
    <cellStyle name="40% - Accent4 9 3 2" xfId="3475"/>
    <cellStyle name="40% - Accent4 9 3 2 2" xfId="6884"/>
    <cellStyle name="40% - Accent4 9 3 3" xfId="5886"/>
    <cellStyle name="40% - Accent4 9 4" xfId="1958"/>
    <cellStyle name="40% - Accent4 9 4 2" xfId="3053"/>
    <cellStyle name="40% - Accent4 9 4 2 2" xfId="6462"/>
    <cellStyle name="40% - Accent4 9 4 3" xfId="5464"/>
    <cellStyle name="40% - Accent4 9 5" xfId="1670"/>
    <cellStyle name="40% - Accent4 9 5 2" xfId="5181"/>
    <cellStyle name="40% - Accent4 9 6" xfId="2768"/>
    <cellStyle name="40% - Accent4 9 6 2" xfId="6179"/>
    <cellStyle name="40% - Accent4 9 7" xfId="3769"/>
    <cellStyle name="40% - Accent5" xfId="166"/>
    <cellStyle name="40% - Accent5 10" xfId="1424"/>
    <cellStyle name="40% - Accent5 10 2" xfId="2221"/>
    <cellStyle name="40% - Accent5 10 2 2" xfId="3311"/>
    <cellStyle name="40% - Accent5 10 2 2 2" xfId="6720"/>
    <cellStyle name="40% - Accent5 10 2 3" xfId="5722"/>
    <cellStyle name="40% - Accent5 10 3" xfId="2496"/>
    <cellStyle name="40% - Accent5 10 3 2" xfId="3581"/>
    <cellStyle name="40% - Accent5 10 3 2 2" xfId="6990"/>
    <cellStyle name="40% - Accent5 10 3 3" xfId="5992"/>
    <cellStyle name="40% - Accent5 10 4" xfId="1915"/>
    <cellStyle name="40% - Accent5 10 4 2" xfId="3010"/>
    <cellStyle name="40% - Accent5 10 4 2 2" xfId="6419"/>
    <cellStyle name="40% - Accent5 10 4 3" xfId="5421"/>
    <cellStyle name="40% - Accent5 10 5" xfId="1777"/>
    <cellStyle name="40% - Accent5 10 5 2" xfId="5287"/>
    <cellStyle name="40% - Accent5 10 6" xfId="2876"/>
    <cellStyle name="40% - Accent5 10 6 2" xfId="6285"/>
    <cellStyle name="40% - Accent5 10 7" xfId="3726"/>
    <cellStyle name="40% - Accent5 11" xfId="1471"/>
    <cellStyle name="40% - Accent5 11 2" xfId="2510"/>
    <cellStyle name="40% - Accent5 11 2 2" xfId="3595"/>
    <cellStyle name="40% - Accent5 11 2 2 2" xfId="7004"/>
    <cellStyle name="40% - Accent5 11 2 3" xfId="6006"/>
    <cellStyle name="40% - Accent5 11 3" xfId="2235"/>
    <cellStyle name="40% - Accent5 11 3 2" xfId="3325"/>
    <cellStyle name="40% - Accent5 11 3 2 2" xfId="6734"/>
    <cellStyle name="40% - Accent5 11 3 3" xfId="5736"/>
    <cellStyle name="40% - Accent5 11 4" xfId="1791"/>
    <cellStyle name="40% - Accent5 11 4 2" xfId="5301"/>
    <cellStyle name="40% - Accent5 11 5" xfId="2890"/>
    <cellStyle name="40% - Accent5 11 5 2" xfId="6299"/>
    <cellStyle name="40% - Accent5 11 6" xfId="5001"/>
    <cellStyle name="40% - Accent5 12" xfId="2068"/>
    <cellStyle name="40% - Accent5 12 2" xfId="3160"/>
    <cellStyle name="40% - Accent5 12 2 2" xfId="6569"/>
    <cellStyle name="40% - Accent5 12 3" xfId="5571"/>
    <cellStyle name="40% - Accent5 13" xfId="2342"/>
    <cellStyle name="40% - Accent5 13 2" xfId="3430"/>
    <cellStyle name="40% - Accent5 13 2 2" xfId="6839"/>
    <cellStyle name="40% - Accent5 13 3" xfId="5841"/>
    <cellStyle name="40% - Accent5 14" xfId="1899"/>
    <cellStyle name="40% - Accent5 14 2" xfId="2995"/>
    <cellStyle name="40% - Accent5 14 2 2" xfId="6404"/>
    <cellStyle name="40% - Accent5 14 3" xfId="5406"/>
    <cellStyle name="40% - Accent5 15" xfId="1623"/>
    <cellStyle name="40% - Accent5 15 2" xfId="2718"/>
    <cellStyle name="40% - Accent5 15 2 2" xfId="6134"/>
    <cellStyle name="40% - Accent5 15 3" xfId="5136"/>
    <cellStyle name="40% - Accent5 16" xfId="1580"/>
    <cellStyle name="40% - Accent5 16 2" xfId="5106"/>
    <cellStyle name="40% - Accent5 17" xfId="2632"/>
    <cellStyle name="40% - Accent5 17 2" xfId="6111"/>
    <cellStyle name="40% - Accent5 18" xfId="3711"/>
    <cellStyle name="40% - Accent5 19" xfId="525"/>
    <cellStyle name="40% - Accent5 2" xfId="371"/>
    <cellStyle name="40% - Accent5 2 2" xfId="587"/>
    <cellStyle name="40% - Accent5 2 2 2" xfId="4017"/>
    <cellStyle name="40% - Accent5 2 2 2 2" xfId="4232"/>
    <cellStyle name="40% - Accent5 2 2 2 2 2" xfId="4386"/>
    <cellStyle name="40% - Accent5 2 2 2 3" xfId="4387"/>
    <cellStyle name="40% - Accent5 2 2 3" xfId="4130"/>
    <cellStyle name="40% - Accent5 2 2 3 2" xfId="4233"/>
    <cellStyle name="40% - Accent5 2 2 3 2 2" xfId="4388"/>
    <cellStyle name="40% - Accent5 2 2 3 3" xfId="4389"/>
    <cellStyle name="40% - Accent5 2 2 4" xfId="4390"/>
    <cellStyle name="40% - Accent5 2 3" xfId="4018"/>
    <cellStyle name="40% - Accent5 2 4" xfId="4391"/>
    <cellStyle name="40% - Accent5 2 5" xfId="3923"/>
    <cellStyle name="40% - Accent5 3" xfId="588"/>
    <cellStyle name="40% - Accent5 4" xfId="589"/>
    <cellStyle name="40% - Accent5 5" xfId="1119"/>
    <cellStyle name="40% - Accent5 5 10" xfId="2752"/>
    <cellStyle name="40% - Accent5 5 10 2" xfId="6164"/>
    <cellStyle name="40% - Accent5 5 11" xfId="3756"/>
    <cellStyle name="40% - Accent5 5 2" xfId="1410"/>
    <cellStyle name="40% - Accent5 5 2 2" xfId="1561"/>
    <cellStyle name="40% - Accent5 5 2 2 2" xfId="2600"/>
    <cellStyle name="40% - Accent5 5 2 2 2 2" xfId="3685"/>
    <cellStyle name="40% - Accent5 5 2 2 2 2 2" xfId="7094"/>
    <cellStyle name="40% - Accent5 5 2 2 2 3" xfId="6096"/>
    <cellStyle name="40% - Accent5 5 2 2 3" xfId="2325"/>
    <cellStyle name="40% - Accent5 5 2 2 3 2" xfId="3415"/>
    <cellStyle name="40% - Accent5 5 2 2 3 2 2" xfId="6824"/>
    <cellStyle name="40% - Accent5 5 2 2 3 3" xfId="5826"/>
    <cellStyle name="40% - Accent5 5 2 2 4" xfId="1881"/>
    <cellStyle name="40% - Accent5 5 2 2 4 2" xfId="5391"/>
    <cellStyle name="40% - Accent5 5 2 2 5" xfId="2980"/>
    <cellStyle name="40% - Accent5 5 2 2 5 2" xfId="6389"/>
    <cellStyle name="40% - Accent5 5 2 2 6" xfId="5091"/>
    <cellStyle name="40% - Accent5 5 2 3" xfId="2215"/>
    <cellStyle name="40% - Accent5 5 2 3 2" xfId="3305"/>
    <cellStyle name="40% - Accent5 5 2 3 2 2" xfId="6714"/>
    <cellStyle name="40% - Accent5 5 2 3 3" xfId="5716"/>
    <cellStyle name="40% - Accent5 5 2 4" xfId="2490"/>
    <cellStyle name="40% - Accent5 5 2 4 2" xfId="3575"/>
    <cellStyle name="40% - Accent5 5 2 4 2 2" xfId="6984"/>
    <cellStyle name="40% - Accent5 5 2 4 3" xfId="5986"/>
    <cellStyle name="40% - Accent5 5 2 5" xfId="2050"/>
    <cellStyle name="40% - Accent5 5 2 5 2" xfId="3145"/>
    <cellStyle name="40% - Accent5 5 2 5 2 2" xfId="6554"/>
    <cellStyle name="40% - Accent5 5 2 5 3" xfId="5556"/>
    <cellStyle name="40% - Accent5 5 2 6" xfId="1771"/>
    <cellStyle name="40% - Accent5 5 2 6 2" xfId="5281"/>
    <cellStyle name="40% - Accent5 5 2 7" xfId="2870"/>
    <cellStyle name="40% - Accent5 5 2 7 2" xfId="6279"/>
    <cellStyle name="40% - Accent5 5 2 8" xfId="3861"/>
    <cellStyle name="40% - Accent5 5 3" xfId="1353"/>
    <cellStyle name="40% - Accent5 5 3 2" xfId="2170"/>
    <cellStyle name="40% - Accent5 5 3 2 2" xfId="3260"/>
    <cellStyle name="40% - Accent5 5 3 2 2 2" xfId="6669"/>
    <cellStyle name="40% - Accent5 5 3 2 3" xfId="5671"/>
    <cellStyle name="40% - Accent5 5 3 3" xfId="2445"/>
    <cellStyle name="40% - Accent5 5 3 3 2" xfId="3530"/>
    <cellStyle name="40% - Accent5 5 3 3 2 2" xfId="6939"/>
    <cellStyle name="40% - Accent5 5 3 3 3" xfId="5941"/>
    <cellStyle name="40% - Accent5 5 3 4" xfId="2005"/>
    <cellStyle name="40% - Accent5 5 3 4 2" xfId="3100"/>
    <cellStyle name="40% - Accent5 5 3 4 2 2" xfId="6509"/>
    <cellStyle name="40% - Accent5 5 3 4 3" xfId="5511"/>
    <cellStyle name="40% - Accent5 5 3 5" xfId="1726"/>
    <cellStyle name="40% - Accent5 5 3 5 2" xfId="5236"/>
    <cellStyle name="40% - Accent5 5 3 6" xfId="2825"/>
    <cellStyle name="40% - Accent5 5 3 6 2" xfId="6234"/>
    <cellStyle name="40% - Accent5 5 3 7" xfId="3816"/>
    <cellStyle name="40% - Accent5 5 4" xfId="1501"/>
    <cellStyle name="40% - Accent5 5 4 2" xfId="2540"/>
    <cellStyle name="40% - Accent5 5 4 2 2" xfId="3625"/>
    <cellStyle name="40% - Accent5 5 4 2 2 2" xfId="7034"/>
    <cellStyle name="40% - Accent5 5 4 2 3" xfId="6036"/>
    <cellStyle name="40% - Accent5 5 4 3" xfId="2265"/>
    <cellStyle name="40% - Accent5 5 4 3 2" xfId="3355"/>
    <cellStyle name="40% - Accent5 5 4 3 2 2" xfId="6764"/>
    <cellStyle name="40% - Accent5 5 4 3 3" xfId="5766"/>
    <cellStyle name="40% - Accent5 5 4 4" xfId="1821"/>
    <cellStyle name="40% - Accent5 5 4 4 2" xfId="5331"/>
    <cellStyle name="40% - Accent5 5 4 5" xfId="2920"/>
    <cellStyle name="40% - Accent5 5 4 5 2" xfId="6329"/>
    <cellStyle name="40% - Accent5 5 4 6" xfId="5031"/>
    <cellStyle name="40% - Accent5 5 5" xfId="2100"/>
    <cellStyle name="40% - Accent5 5 5 2" xfId="3190"/>
    <cellStyle name="40% - Accent5 5 5 2 2" xfId="6599"/>
    <cellStyle name="40% - Accent5 5 5 3" xfId="5601"/>
    <cellStyle name="40% - Accent5 5 6" xfId="2373"/>
    <cellStyle name="40% - Accent5 5 6 2" xfId="3460"/>
    <cellStyle name="40% - Accent5 5 6 2 2" xfId="6869"/>
    <cellStyle name="40% - Accent5 5 6 3" xfId="5871"/>
    <cellStyle name="40% - Accent5 5 7" xfId="1945"/>
    <cellStyle name="40% - Accent5 5 7 2" xfId="3040"/>
    <cellStyle name="40% - Accent5 5 7 2 2" xfId="6449"/>
    <cellStyle name="40% - Accent5 5 7 3" xfId="5451"/>
    <cellStyle name="40% - Accent5 5 8" xfId="1654"/>
    <cellStyle name="40% - Accent5 5 8 2" xfId="5166"/>
    <cellStyle name="40% - Accent5 5 9" xfId="1602"/>
    <cellStyle name="40% - Accent5 5 9 2" xfId="5121"/>
    <cellStyle name="40% - Accent5 6" xfId="1034"/>
    <cellStyle name="40% - Accent5 6 10" xfId="3741"/>
    <cellStyle name="40% - Accent5 6 2" xfId="1395"/>
    <cellStyle name="40% - Accent5 6 2 2" xfId="1546"/>
    <cellStyle name="40% - Accent5 6 2 2 2" xfId="2585"/>
    <cellStyle name="40% - Accent5 6 2 2 2 2" xfId="3670"/>
    <cellStyle name="40% - Accent5 6 2 2 2 2 2" xfId="7079"/>
    <cellStyle name="40% - Accent5 6 2 2 2 3" xfId="6081"/>
    <cellStyle name="40% - Accent5 6 2 2 3" xfId="2310"/>
    <cellStyle name="40% - Accent5 6 2 2 3 2" xfId="3400"/>
    <cellStyle name="40% - Accent5 6 2 2 3 2 2" xfId="6809"/>
    <cellStyle name="40% - Accent5 6 2 2 3 3" xfId="5811"/>
    <cellStyle name="40% - Accent5 6 2 2 4" xfId="1866"/>
    <cellStyle name="40% - Accent5 6 2 2 4 2" xfId="5376"/>
    <cellStyle name="40% - Accent5 6 2 2 5" xfId="2965"/>
    <cellStyle name="40% - Accent5 6 2 2 5 2" xfId="6374"/>
    <cellStyle name="40% - Accent5 6 2 2 6" xfId="5076"/>
    <cellStyle name="40% - Accent5 6 2 3" xfId="2200"/>
    <cellStyle name="40% - Accent5 6 2 3 2" xfId="3290"/>
    <cellStyle name="40% - Accent5 6 2 3 2 2" xfId="6699"/>
    <cellStyle name="40% - Accent5 6 2 3 3" xfId="5701"/>
    <cellStyle name="40% - Accent5 6 2 4" xfId="2475"/>
    <cellStyle name="40% - Accent5 6 2 4 2" xfId="3560"/>
    <cellStyle name="40% - Accent5 6 2 4 2 2" xfId="6969"/>
    <cellStyle name="40% - Accent5 6 2 4 3" xfId="5971"/>
    <cellStyle name="40% - Accent5 6 2 5" xfId="2035"/>
    <cellStyle name="40% - Accent5 6 2 5 2" xfId="3130"/>
    <cellStyle name="40% - Accent5 6 2 5 2 2" xfId="6539"/>
    <cellStyle name="40% - Accent5 6 2 5 3" xfId="5541"/>
    <cellStyle name="40% - Accent5 6 2 6" xfId="1756"/>
    <cellStyle name="40% - Accent5 6 2 6 2" xfId="5266"/>
    <cellStyle name="40% - Accent5 6 2 7" xfId="2855"/>
    <cellStyle name="40% - Accent5 6 2 7 2" xfId="6264"/>
    <cellStyle name="40% - Accent5 6 2 8" xfId="3846"/>
    <cellStyle name="40% - Accent5 6 3" xfId="1327"/>
    <cellStyle name="40% - Accent5 6 3 2" xfId="2154"/>
    <cellStyle name="40% - Accent5 6 3 2 2" xfId="3244"/>
    <cellStyle name="40% - Accent5 6 3 2 2 2" xfId="6653"/>
    <cellStyle name="40% - Accent5 6 3 2 3" xfId="5655"/>
    <cellStyle name="40% - Accent5 6 3 3" xfId="2429"/>
    <cellStyle name="40% - Accent5 6 3 3 2" xfId="3514"/>
    <cellStyle name="40% - Accent5 6 3 3 2 2" xfId="6923"/>
    <cellStyle name="40% - Accent5 6 3 3 3" xfId="5925"/>
    <cellStyle name="40% - Accent5 6 3 4" xfId="1990"/>
    <cellStyle name="40% - Accent5 6 3 4 2" xfId="3085"/>
    <cellStyle name="40% - Accent5 6 3 4 2 2" xfId="6494"/>
    <cellStyle name="40% - Accent5 6 3 4 3" xfId="5496"/>
    <cellStyle name="40% - Accent5 6 3 5" xfId="1710"/>
    <cellStyle name="40% - Accent5 6 3 5 2" xfId="5220"/>
    <cellStyle name="40% - Accent5 6 3 6" xfId="2809"/>
    <cellStyle name="40% - Accent5 6 3 6 2" xfId="6218"/>
    <cellStyle name="40% - Accent5 6 3 7" xfId="3801"/>
    <cellStyle name="40% - Accent5 6 4" xfId="1486"/>
    <cellStyle name="40% - Accent5 6 4 2" xfId="2525"/>
    <cellStyle name="40% - Accent5 6 4 2 2" xfId="3610"/>
    <cellStyle name="40% - Accent5 6 4 2 2 2" xfId="7019"/>
    <cellStyle name="40% - Accent5 6 4 2 3" xfId="6021"/>
    <cellStyle name="40% - Accent5 6 4 3" xfId="2250"/>
    <cellStyle name="40% - Accent5 6 4 3 2" xfId="3340"/>
    <cellStyle name="40% - Accent5 6 4 3 2 2" xfId="6749"/>
    <cellStyle name="40% - Accent5 6 4 3 3" xfId="5751"/>
    <cellStyle name="40% - Accent5 6 4 4" xfId="1806"/>
    <cellStyle name="40% - Accent5 6 4 4 2" xfId="5316"/>
    <cellStyle name="40% - Accent5 6 4 5" xfId="2905"/>
    <cellStyle name="40% - Accent5 6 4 5 2" xfId="6314"/>
    <cellStyle name="40% - Accent5 6 4 6" xfId="5016"/>
    <cellStyle name="40% - Accent5 6 5" xfId="2084"/>
    <cellStyle name="40% - Accent5 6 5 2" xfId="3175"/>
    <cellStyle name="40% - Accent5 6 5 2 2" xfId="6584"/>
    <cellStyle name="40% - Accent5 6 5 3" xfId="5586"/>
    <cellStyle name="40% - Accent5 6 6" xfId="2358"/>
    <cellStyle name="40% - Accent5 6 6 2" xfId="3445"/>
    <cellStyle name="40% - Accent5 6 6 2 2" xfId="6854"/>
    <cellStyle name="40% - Accent5 6 6 3" xfId="5856"/>
    <cellStyle name="40% - Accent5 6 7" xfId="1930"/>
    <cellStyle name="40% - Accent5 6 7 2" xfId="3025"/>
    <cellStyle name="40% - Accent5 6 7 2 2" xfId="6434"/>
    <cellStyle name="40% - Accent5 6 7 3" xfId="5436"/>
    <cellStyle name="40% - Accent5 6 8" xfId="1639"/>
    <cellStyle name="40% - Accent5 6 8 2" xfId="5151"/>
    <cellStyle name="40% - Accent5 6 9" xfId="2734"/>
    <cellStyle name="40% - Accent5 6 9 2" xfId="6149"/>
    <cellStyle name="40% - Accent5 7" xfId="1302"/>
    <cellStyle name="40% - Accent5 7 2" xfId="1516"/>
    <cellStyle name="40% - Accent5 7 2 2" xfId="2555"/>
    <cellStyle name="40% - Accent5 7 2 2 2" xfId="3640"/>
    <cellStyle name="40% - Accent5 7 2 2 2 2" xfId="7049"/>
    <cellStyle name="40% - Accent5 7 2 2 3" xfId="6051"/>
    <cellStyle name="40% - Accent5 7 2 3" xfId="2280"/>
    <cellStyle name="40% - Accent5 7 2 3 2" xfId="3370"/>
    <cellStyle name="40% - Accent5 7 2 3 2 2" xfId="6779"/>
    <cellStyle name="40% - Accent5 7 2 3 3" xfId="5781"/>
    <cellStyle name="40% - Accent5 7 2 4" xfId="1836"/>
    <cellStyle name="40% - Accent5 7 2 4 2" xfId="5346"/>
    <cellStyle name="40% - Accent5 7 2 5" xfId="2935"/>
    <cellStyle name="40% - Accent5 7 2 5 2" xfId="6344"/>
    <cellStyle name="40% - Accent5 7 2 6" xfId="5046"/>
    <cellStyle name="40% - Accent5 7 3" xfId="2139"/>
    <cellStyle name="40% - Accent5 7 3 2" xfId="3229"/>
    <cellStyle name="40% - Accent5 7 3 2 2" xfId="6638"/>
    <cellStyle name="40% - Accent5 7 3 3" xfId="5640"/>
    <cellStyle name="40% - Accent5 7 4" xfId="2414"/>
    <cellStyle name="40% - Accent5 7 4 2" xfId="3499"/>
    <cellStyle name="40% - Accent5 7 4 2 2" xfId="6908"/>
    <cellStyle name="40% - Accent5 7 4 3" xfId="5910"/>
    <cellStyle name="40% - Accent5 7 5" xfId="1975"/>
    <cellStyle name="40% - Accent5 7 5 2" xfId="3070"/>
    <cellStyle name="40% - Accent5 7 5 2 2" xfId="6479"/>
    <cellStyle name="40% - Accent5 7 5 3" xfId="5481"/>
    <cellStyle name="40% - Accent5 7 6" xfId="1694"/>
    <cellStyle name="40% - Accent5 7 6 2" xfId="5205"/>
    <cellStyle name="40% - Accent5 7 7" xfId="2793"/>
    <cellStyle name="40% - Accent5 7 7 2" xfId="6203"/>
    <cellStyle name="40% - Accent5 7 8" xfId="3786"/>
    <cellStyle name="40% - Accent5 8" xfId="1374"/>
    <cellStyle name="40% - Accent5 8 2" xfId="1531"/>
    <cellStyle name="40% - Accent5 8 2 2" xfId="2570"/>
    <cellStyle name="40% - Accent5 8 2 2 2" xfId="3655"/>
    <cellStyle name="40% - Accent5 8 2 2 2 2" xfId="7064"/>
    <cellStyle name="40% - Accent5 8 2 2 3" xfId="6066"/>
    <cellStyle name="40% - Accent5 8 2 3" xfId="2295"/>
    <cellStyle name="40% - Accent5 8 2 3 2" xfId="3385"/>
    <cellStyle name="40% - Accent5 8 2 3 2 2" xfId="6794"/>
    <cellStyle name="40% - Accent5 8 2 3 3" xfId="5796"/>
    <cellStyle name="40% - Accent5 8 2 4" xfId="1851"/>
    <cellStyle name="40% - Accent5 8 2 4 2" xfId="5361"/>
    <cellStyle name="40% - Accent5 8 2 5" xfId="2950"/>
    <cellStyle name="40% - Accent5 8 2 5 2" xfId="6359"/>
    <cellStyle name="40% - Accent5 8 2 6" xfId="5061"/>
    <cellStyle name="40% - Accent5 8 3" xfId="2185"/>
    <cellStyle name="40% - Accent5 8 3 2" xfId="3275"/>
    <cellStyle name="40% - Accent5 8 3 2 2" xfId="6684"/>
    <cellStyle name="40% - Accent5 8 3 3" xfId="5686"/>
    <cellStyle name="40% - Accent5 8 4" xfId="2460"/>
    <cellStyle name="40% - Accent5 8 4 2" xfId="3545"/>
    <cellStyle name="40% - Accent5 8 4 2 2" xfId="6954"/>
    <cellStyle name="40% - Accent5 8 4 3" xfId="5956"/>
    <cellStyle name="40% - Accent5 8 5" xfId="2020"/>
    <cellStyle name="40% - Accent5 8 5 2" xfId="3115"/>
    <cellStyle name="40% - Accent5 8 5 2 2" xfId="6524"/>
    <cellStyle name="40% - Accent5 8 5 3" xfId="5526"/>
    <cellStyle name="40% - Accent5 8 6" xfId="1741"/>
    <cellStyle name="40% - Accent5 8 6 2" xfId="5251"/>
    <cellStyle name="40% - Accent5 8 7" xfId="2840"/>
    <cellStyle name="40% - Accent5 8 7 2" xfId="6249"/>
    <cellStyle name="40% - Accent5 8 8" xfId="3831"/>
    <cellStyle name="40% - Accent5 9" xfId="1172"/>
    <cellStyle name="40% - Accent5 9 2" xfId="2117"/>
    <cellStyle name="40% - Accent5 9 2 2" xfId="3207"/>
    <cellStyle name="40% - Accent5 9 2 2 2" xfId="6616"/>
    <cellStyle name="40% - Accent5 9 2 3" xfId="5618"/>
    <cellStyle name="40% - Accent5 9 3" xfId="2390"/>
    <cellStyle name="40% - Accent5 9 3 2" xfId="3477"/>
    <cellStyle name="40% - Accent5 9 3 2 2" xfId="6886"/>
    <cellStyle name="40% - Accent5 9 3 3" xfId="5888"/>
    <cellStyle name="40% - Accent5 9 4" xfId="1960"/>
    <cellStyle name="40% - Accent5 9 4 2" xfId="3055"/>
    <cellStyle name="40% - Accent5 9 4 2 2" xfId="6464"/>
    <cellStyle name="40% - Accent5 9 4 3" xfId="5466"/>
    <cellStyle name="40% - Accent5 9 5" xfId="1672"/>
    <cellStyle name="40% - Accent5 9 5 2" xfId="5183"/>
    <cellStyle name="40% - Accent5 9 6" xfId="2770"/>
    <cellStyle name="40% - Accent5 9 6 2" xfId="6181"/>
    <cellStyle name="40% - Accent5 9 7" xfId="3771"/>
    <cellStyle name="40% - Accent6" xfId="167"/>
    <cellStyle name="40% - Accent6 10" xfId="1206"/>
    <cellStyle name="40% - Accent6 10 2" xfId="2127"/>
    <cellStyle name="40% - Accent6 10 2 2" xfId="3217"/>
    <cellStyle name="40% - Accent6 10 2 2 2" xfId="6626"/>
    <cellStyle name="40% - Accent6 10 2 3" xfId="5628"/>
    <cellStyle name="40% - Accent6 10 3" xfId="2400"/>
    <cellStyle name="40% - Accent6 10 3 2" xfId="3487"/>
    <cellStyle name="40% - Accent6 10 3 2 2" xfId="6896"/>
    <cellStyle name="40% - Accent6 10 3 3" xfId="5898"/>
    <cellStyle name="40% - Accent6 10 4" xfId="1917"/>
    <cellStyle name="40% - Accent6 10 4 2" xfId="3012"/>
    <cellStyle name="40% - Accent6 10 4 2 2" xfId="6421"/>
    <cellStyle name="40% - Accent6 10 4 3" xfId="5423"/>
    <cellStyle name="40% - Accent6 10 5" xfId="1682"/>
    <cellStyle name="40% - Accent6 10 5 2" xfId="5193"/>
    <cellStyle name="40% - Accent6 10 6" xfId="2780"/>
    <cellStyle name="40% - Accent6 10 6 2" xfId="6191"/>
    <cellStyle name="40% - Accent6 10 7" xfId="3728"/>
    <cellStyle name="40% - Accent6 11" xfId="1473"/>
    <cellStyle name="40% - Accent6 11 2" xfId="2512"/>
    <cellStyle name="40% - Accent6 11 2 2" xfId="3597"/>
    <cellStyle name="40% - Accent6 11 2 2 2" xfId="7006"/>
    <cellStyle name="40% - Accent6 11 2 3" xfId="6008"/>
    <cellStyle name="40% - Accent6 11 3" xfId="2237"/>
    <cellStyle name="40% - Accent6 11 3 2" xfId="3327"/>
    <cellStyle name="40% - Accent6 11 3 2 2" xfId="6736"/>
    <cellStyle name="40% - Accent6 11 3 3" xfId="5738"/>
    <cellStyle name="40% - Accent6 11 4" xfId="1793"/>
    <cellStyle name="40% - Accent6 11 4 2" xfId="5303"/>
    <cellStyle name="40% - Accent6 11 5" xfId="2892"/>
    <cellStyle name="40% - Accent6 11 5 2" xfId="6301"/>
    <cellStyle name="40% - Accent6 11 6" xfId="5003"/>
    <cellStyle name="40% - Accent6 12" xfId="2070"/>
    <cellStyle name="40% - Accent6 12 2" xfId="3162"/>
    <cellStyle name="40% - Accent6 12 2 2" xfId="6571"/>
    <cellStyle name="40% - Accent6 12 3" xfId="5573"/>
    <cellStyle name="40% - Accent6 13" xfId="2344"/>
    <cellStyle name="40% - Accent6 13 2" xfId="3432"/>
    <cellStyle name="40% - Accent6 13 2 2" xfId="6841"/>
    <cellStyle name="40% - Accent6 13 3" xfId="5843"/>
    <cellStyle name="40% - Accent6 14" xfId="1901"/>
    <cellStyle name="40% - Accent6 14 2" xfId="2997"/>
    <cellStyle name="40% - Accent6 14 2 2" xfId="6406"/>
    <cellStyle name="40% - Accent6 14 3" xfId="5408"/>
    <cellStyle name="40% - Accent6 15" xfId="1625"/>
    <cellStyle name="40% - Accent6 15 2" xfId="2720"/>
    <cellStyle name="40% - Accent6 15 2 2" xfId="6136"/>
    <cellStyle name="40% - Accent6 15 3" xfId="5138"/>
    <cellStyle name="40% - Accent6 16" xfId="1582"/>
    <cellStyle name="40% - Accent6 16 2" xfId="5108"/>
    <cellStyle name="40% - Accent6 17" xfId="2634"/>
    <cellStyle name="40% - Accent6 17 2" xfId="6113"/>
    <cellStyle name="40% - Accent6 18" xfId="3713"/>
    <cellStyle name="40% - Accent6 19" xfId="529"/>
    <cellStyle name="40% - Accent6 2" xfId="372"/>
    <cellStyle name="40% - Accent6 2 2" xfId="590"/>
    <cellStyle name="40% - Accent6 2 2 2" xfId="4019"/>
    <cellStyle name="40% - Accent6 2 2 2 2" xfId="4234"/>
    <cellStyle name="40% - Accent6 2 2 2 2 2" xfId="4392"/>
    <cellStyle name="40% - Accent6 2 2 2 3" xfId="4393"/>
    <cellStyle name="40% - Accent6 2 2 3" xfId="4131"/>
    <cellStyle name="40% - Accent6 2 2 3 2" xfId="4235"/>
    <cellStyle name="40% - Accent6 2 2 3 2 2" xfId="4394"/>
    <cellStyle name="40% - Accent6 2 2 3 3" xfId="4395"/>
    <cellStyle name="40% - Accent6 2 2 4" xfId="4396"/>
    <cellStyle name="40% - Accent6 2 3" xfId="4020"/>
    <cellStyle name="40% - Accent6 2 4" xfId="4397"/>
    <cellStyle name="40% - Accent6 2 5" xfId="3924"/>
    <cellStyle name="40% - Accent6 3" xfId="591"/>
    <cellStyle name="40% - Accent6 4" xfId="592"/>
    <cellStyle name="40% - Accent6 5" xfId="1121"/>
    <cellStyle name="40% - Accent6 5 10" xfId="2754"/>
    <cellStyle name="40% - Accent6 5 10 2" xfId="6166"/>
    <cellStyle name="40% - Accent6 5 11" xfId="3758"/>
    <cellStyle name="40% - Accent6 5 2" xfId="1412"/>
    <cellStyle name="40% - Accent6 5 2 2" xfId="1563"/>
    <cellStyle name="40% - Accent6 5 2 2 2" xfId="2602"/>
    <cellStyle name="40% - Accent6 5 2 2 2 2" xfId="3687"/>
    <cellStyle name="40% - Accent6 5 2 2 2 2 2" xfId="7096"/>
    <cellStyle name="40% - Accent6 5 2 2 2 3" xfId="6098"/>
    <cellStyle name="40% - Accent6 5 2 2 3" xfId="2327"/>
    <cellStyle name="40% - Accent6 5 2 2 3 2" xfId="3417"/>
    <cellStyle name="40% - Accent6 5 2 2 3 2 2" xfId="6826"/>
    <cellStyle name="40% - Accent6 5 2 2 3 3" xfId="5828"/>
    <cellStyle name="40% - Accent6 5 2 2 4" xfId="1883"/>
    <cellStyle name="40% - Accent6 5 2 2 4 2" xfId="5393"/>
    <cellStyle name="40% - Accent6 5 2 2 5" xfId="2982"/>
    <cellStyle name="40% - Accent6 5 2 2 5 2" xfId="6391"/>
    <cellStyle name="40% - Accent6 5 2 2 6" xfId="5093"/>
    <cellStyle name="40% - Accent6 5 2 3" xfId="2217"/>
    <cellStyle name="40% - Accent6 5 2 3 2" xfId="3307"/>
    <cellStyle name="40% - Accent6 5 2 3 2 2" xfId="6716"/>
    <cellStyle name="40% - Accent6 5 2 3 3" xfId="5718"/>
    <cellStyle name="40% - Accent6 5 2 4" xfId="2492"/>
    <cellStyle name="40% - Accent6 5 2 4 2" xfId="3577"/>
    <cellStyle name="40% - Accent6 5 2 4 2 2" xfId="6986"/>
    <cellStyle name="40% - Accent6 5 2 4 3" xfId="5988"/>
    <cellStyle name="40% - Accent6 5 2 5" xfId="2052"/>
    <cellStyle name="40% - Accent6 5 2 5 2" xfId="3147"/>
    <cellStyle name="40% - Accent6 5 2 5 2 2" xfId="6556"/>
    <cellStyle name="40% - Accent6 5 2 5 3" xfId="5558"/>
    <cellStyle name="40% - Accent6 5 2 6" xfId="1773"/>
    <cellStyle name="40% - Accent6 5 2 6 2" xfId="5283"/>
    <cellStyle name="40% - Accent6 5 2 7" xfId="2872"/>
    <cellStyle name="40% - Accent6 5 2 7 2" xfId="6281"/>
    <cellStyle name="40% - Accent6 5 2 8" xfId="3863"/>
    <cellStyle name="40% - Accent6 5 3" xfId="1355"/>
    <cellStyle name="40% - Accent6 5 3 2" xfId="2172"/>
    <cellStyle name="40% - Accent6 5 3 2 2" xfId="3262"/>
    <cellStyle name="40% - Accent6 5 3 2 2 2" xfId="6671"/>
    <cellStyle name="40% - Accent6 5 3 2 3" xfId="5673"/>
    <cellStyle name="40% - Accent6 5 3 3" xfId="2447"/>
    <cellStyle name="40% - Accent6 5 3 3 2" xfId="3532"/>
    <cellStyle name="40% - Accent6 5 3 3 2 2" xfId="6941"/>
    <cellStyle name="40% - Accent6 5 3 3 3" xfId="5943"/>
    <cellStyle name="40% - Accent6 5 3 4" xfId="2007"/>
    <cellStyle name="40% - Accent6 5 3 4 2" xfId="3102"/>
    <cellStyle name="40% - Accent6 5 3 4 2 2" xfId="6511"/>
    <cellStyle name="40% - Accent6 5 3 4 3" xfId="5513"/>
    <cellStyle name="40% - Accent6 5 3 5" xfId="1728"/>
    <cellStyle name="40% - Accent6 5 3 5 2" xfId="5238"/>
    <cellStyle name="40% - Accent6 5 3 6" xfId="2827"/>
    <cellStyle name="40% - Accent6 5 3 6 2" xfId="6236"/>
    <cellStyle name="40% - Accent6 5 3 7" xfId="3818"/>
    <cellStyle name="40% - Accent6 5 4" xfId="1503"/>
    <cellStyle name="40% - Accent6 5 4 2" xfId="2542"/>
    <cellStyle name="40% - Accent6 5 4 2 2" xfId="3627"/>
    <cellStyle name="40% - Accent6 5 4 2 2 2" xfId="7036"/>
    <cellStyle name="40% - Accent6 5 4 2 3" xfId="6038"/>
    <cellStyle name="40% - Accent6 5 4 3" xfId="2267"/>
    <cellStyle name="40% - Accent6 5 4 3 2" xfId="3357"/>
    <cellStyle name="40% - Accent6 5 4 3 2 2" xfId="6766"/>
    <cellStyle name="40% - Accent6 5 4 3 3" xfId="5768"/>
    <cellStyle name="40% - Accent6 5 4 4" xfId="1823"/>
    <cellStyle name="40% - Accent6 5 4 4 2" xfId="5333"/>
    <cellStyle name="40% - Accent6 5 4 5" xfId="2922"/>
    <cellStyle name="40% - Accent6 5 4 5 2" xfId="6331"/>
    <cellStyle name="40% - Accent6 5 4 6" xfId="5033"/>
    <cellStyle name="40% - Accent6 5 5" xfId="2102"/>
    <cellStyle name="40% - Accent6 5 5 2" xfId="3192"/>
    <cellStyle name="40% - Accent6 5 5 2 2" xfId="6601"/>
    <cellStyle name="40% - Accent6 5 5 3" xfId="5603"/>
    <cellStyle name="40% - Accent6 5 6" xfId="2375"/>
    <cellStyle name="40% - Accent6 5 6 2" xfId="3462"/>
    <cellStyle name="40% - Accent6 5 6 2 2" xfId="6871"/>
    <cellStyle name="40% - Accent6 5 6 3" xfId="5873"/>
    <cellStyle name="40% - Accent6 5 7" xfId="1947"/>
    <cellStyle name="40% - Accent6 5 7 2" xfId="3042"/>
    <cellStyle name="40% - Accent6 5 7 2 2" xfId="6451"/>
    <cellStyle name="40% - Accent6 5 7 3" xfId="5453"/>
    <cellStyle name="40% - Accent6 5 8" xfId="1656"/>
    <cellStyle name="40% - Accent6 5 8 2" xfId="5168"/>
    <cellStyle name="40% - Accent6 5 9" xfId="1604"/>
    <cellStyle name="40% - Accent6 5 9 2" xfId="5123"/>
    <cellStyle name="40% - Accent6 6" xfId="1036"/>
    <cellStyle name="40% - Accent6 6 10" xfId="3743"/>
    <cellStyle name="40% - Accent6 6 2" xfId="1397"/>
    <cellStyle name="40% - Accent6 6 2 2" xfId="1548"/>
    <cellStyle name="40% - Accent6 6 2 2 2" xfId="2587"/>
    <cellStyle name="40% - Accent6 6 2 2 2 2" xfId="3672"/>
    <cellStyle name="40% - Accent6 6 2 2 2 2 2" xfId="7081"/>
    <cellStyle name="40% - Accent6 6 2 2 2 3" xfId="6083"/>
    <cellStyle name="40% - Accent6 6 2 2 3" xfId="2312"/>
    <cellStyle name="40% - Accent6 6 2 2 3 2" xfId="3402"/>
    <cellStyle name="40% - Accent6 6 2 2 3 2 2" xfId="6811"/>
    <cellStyle name="40% - Accent6 6 2 2 3 3" xfId="5813"/>
    <cellStyle name="40% - Accent6 6 2 2 4" xfId="1868"/>
    <cellStyle name="40% - Accent6 6 2 2 4 2" xfId="5378"/>
    <cellStyle name="40% - Accent6 6 2 2 5" xfId="2967"/>
    <cellStyle name="40% - Accent6 6 2 2 5 2" xfId="6376"/>
    <cellStyle name="40% - Accent6 6 2 2 6" xfId="5078"/>
    <cellStyle name="40% - Accent6 6 2 3" xfId="2202"/>
    <cellStyle name="40% - Accent6 6 2 3 2" xfId="3292"/>
    <cellStyle name="40% - Accent6 6 2 3 2 2" xfId="6701"/>
    <cellStyle name="40% - Accent6 6 2 3 3" xfId="5703"/>
    <cellStyle name="40% - Accent6 6 2 4" xfId="2477"/>
    <cellStyle name="40% - Accent6 6 2 4 2" xfId="3562"/>
    <cellStyle name="40% - Accent6 6 2 4 2 2" xfId="6971"/>
    <cellStyle name="40% - Accent6 6 2 4 3" xfId="5973"/>
    <cellStyle name="40% - Accent6 6 2 5" xfId="2037"/>
    <cellStyle name="40% - Accent6 6 2 5 2" xfId="3132"/>
    <cellStyle name="40% - Accent6 6 2 5 2 2" xfId="6541"/>
    <cellStyle name="40% - Accent6 6 2 5 3" xfId="5543"/>
    <cellStyle name="40% - Accent6 6 2 6" xfId="1758"/>
    <cellStyle name="40% - Accent6 6 2 6 2" xfId="5268"/>
    <cellStyle name="40% - Accent6 6 2 7" xfId="2857"/>
    <cellStyle name="40% - Accent6 6 2 7 2" xfId="6266"/>
    <cellStyle name="40% - Accent6 6 2 8" xfId="3848"/>
    <cellStyle name="40% - Accent6 6 3" xfId="1329"/>
    <cellStyle name="40% - Accent6 6 3 2" xfId="2156"/>
    <cellStyle name="40% - Accent6 6 3 2 2" xfId="3246"/>
    <cellStyle name="40% - Accent6 6 3 2 2 2" xfId="6655"/>
    <cellStyle name="40% - Accent6 6 3 2 3" xfId="5657"/>
    <cellStyle name="40% - Accent6 6 3 3" xfId="2431"/>
    <cellStyle name="40% - Accent6 6 3 3 2" xfId="3516"/>
    <cellStyle name="40% - Accent6 6 3 3 2 2" xfId="6925"/>
    <cellStyle name="40% - Accent6 6 3 3 3" xfId="5927"/>
    <cellStyle name="40% - Accent6 6 3 4" xfId="1992"/>
    <cellStyle name="40% - Accent6 6 3 4 2" xfId="3087"/>
    <cellStyle name="40% - Accent6 6 3 4 2 2" xfId="6496"/>
    <cellStyle name="40% - Accent6 6 3 4 3" xfId="5498"/>
    <cellStyle name="40% - Accent6 6 3 5" xfId="1712"/>
    <cellStyle name="40% - Accent6 6 3 5 2" xfId="5222"/>
    <cellStyle name="40% - Accent6 6 3 6" xfId="2811"/>
    <cellStyle name="40% - Accent6 6 3 6 2" xfId="6220"/>
    <cellStyle name="40% - Accent6 6 3 7" xfId="3803"/>
    <cellStyle name="40% - Accent6 6 4" xfId="1488"/>
    <cellStyle name="40% - Accent6 6 4 2" xfId="2527"/>
    <cellStyle name="40% - Accent6 6 4 2 2" xfId="3612"/>
    <cellStyle name="40% - Accent6 6 4 2 2 2" xfId="7021"/>
    <cellStyle name="40% - Accent6 6 4 2 3" xfId="6023"/>
    <cellStyle name="40% - Accent6 6 4 3" xfId="2252"/>
    <cellStyle name="40% - Accent6 6 4 3 2" xfId="3342"/>
    <cellStyle name="40% - Accent6 6 4 3 2 2" xfId="6751"/>
    <cellStyle name="40% - Accent6 6 4 3 3" xfId="5753"/>
    <cellStyle name="40% - Accent6 6 4 4" xfId="1808"/>
    <cellStyle name="40% - Accent6 6 4 4 2" xfId="5318"/>
    <cellStyle name="40% - Accent6 6 4 5" xfId="2907"/>
    <cellStyle name="40% - Accent6 6 4 5 2" xfId="6316"/>
    <cellStyle name="40% - Accent6 6 4 6" xfId="5018"/>
    <cellStyle name="40% - Accent6 6 5" xfId="2086"/>
    <cellStyle name="40% - Accent6 6 5 2" xfId="3177"/>
    <cellStyle name="40% - Accent6 6 5 2 2" xfId="6586"/>
    <cellStyle name="40% - Accent6 6 5 3" xfId="5588"/>
    <cellStyle name="40% - Accent6 6 6" xfId="2360"/>
    <cellStyle name="40% - Accent6 6 6 2" xfId="3447"/>
    <cellStyle name="40% - Accent6 6 6 2 2" xfId="6856"/>
    <cellStyle name="40% - Accent6 6 6 3" xfId="5858"/>
    <cellStyle name="40% - Accent6 6 7" xfId="1932"/>
    <cellStyle name="40% - Accent6 6 7 2" xfId="3027"/>
    <cellStyle name="40% - Accent6 6 7 2 2" xfId="6436"/>
    <cellStyle name="40% - Accent6 6 7 3" xfId="5438"/>
    <cellStyle name="40% - Accent6 6 8" xfId="1641"/>
    <cellStyle name="40% - Accent6 6 8 2" xfId="5153"/>
    <cellStyle name="40% - Accent6 6 9" xfId="2736"/>
    <cellStyle name="40% - Accent6 6 9 2" xfId="6151"/>
    <cellStyle name="40% - Accent6 7" xfId="1304"/>
    <cellStyle name="40% - Accent6 7 2" xfId="1518"/>
    <cellStyle name="40% - Accent6 7 2 2" xfId="2557"/>
    <cellStyle name="40% - Accent6 7 2 2 2" xfId="3642"/>
    <cellStyle name="40% - Accent6 7 2 2 2 2" xfId="7051"/>
    <cellStyle name="40% - Accent6 7 2 2 3" xfId="6053"/>
    <cellStyle name="40% - Accent6 7 2 3" xfId="2282"/>
    <cellStyle name="40% - Accent6 7 2 3 2" xfId="3372"/>
    <cellStyle name="40% - Accent6 7 2 3 2 2" xfId="6781"/>
    <cellStyle name="40% - Accent6 7 2 3 3" xfId="5783"/>
    <cellStyle name="40% - Accent6 7 2 4" xfId="1838"/>
    <cellStyle name="40% - Accent6 7 2 4 2" xfId="5348"/>
    <cellStyle name="40% - Accent6 7 2 5" xfId="2937"/>
    <cellStyle name="40% - Accent6 7 2 5 2" xfId="6346"/>
    <cellStyle name="40% - Accent6 7 2 6" xfId="5048"/>
    <cellStyle name="40% - Accent6 7 3" xfId="2141"/>
    <cellStyle name="40% - Accent6 7 3 2" xfId="3231"/>
    <cellStyle name="40% - Accent6 7 3 2 2" xfId="6640"/>
    <cellStyle name="40% - Accent6 7 3 3" xfId="5642"/>
    <cellStyle name="40% - Accent6 7 4" xfId="2416"/>
    <cellStyle name="40% - Accent6 7 4 2" xfId="3501"/>
    <cellStyle name="40% - Accent6 7 4 2 2" xfId="6910"/>
    <cellStyle name="40% - Accent6 7 4 3" xfId="5912"/>
    <cellStyle name="40% - Accent6 7 5" xfId="1977"/>
    <cellStyle name="40% - Accent6 7 5 2" xfId="3072"/>
    <cellStyle name="40% - Accent6 7 5 2 2" xfId="6481"/>
    <cellStyle name="40% - Accent6 7 5 3" xfId="5483"/>
    <cellStyle name="40% - Accent6 7 6" xfId="1696"/>
    <cellStyle name="40% - Accent6 7 6 2" xfId="5207"/>
    <cellStyle name="40% - Accent6 7 7" xfId="2795"/>
    <cellStyle name="40% - Accent6 7 7 2" xfId="6205"/>
    <cellStyle name="40% - Accent6 7 8" xfId="3788"/>
    <cellStyle name="40% - Accent6 8" xfId="1376"/>
    <cellStyle name="40% - Accent6 8 2" xfId="1533"/>
    <cellStyle name="40% - Accent6 8 2 2" xfId="2572"/>
    <cellStyle name="40% - Accent6 8 2 2 2" xfId="3657"/>
    <cellStyle name="40% - Accent6 8 2 2 2 2" xfId="7066"/>
    <cellStyle name="40% - Accent6 8 2 2 3" xfId="6068"/>
    <cellStyle name="40% - Accent6 8 2 3" xfId="2297"/>
    <cellStyle name="40% - Accent6 8 2 3 2" xfId="3387"/>
    <cellStyle name="40% - Accent6 8 2 3 2 2" xfId="6796"/>
    <cellStyle name="40% - Accent6 8 2 3 3" xfId="5798"/>
    <cellStyle name="40% - Accent6 8 2 4" xfId="1853"/>
    <cellStyle name="40% - Accent6 8 2 4 2" xfId="5363"/>
    <cellStyle name="40% - Accent6 8 2 5" xfId="2952"/>
    <cellStyle name="40% - Accent6 8 2 5 2" xfId="6361"/>
    <cellStyle name="40% - Accent6 8 2 6" xfId="5063"/>
    <cellStyle name="40% - Accent6 8 3" xfId="2187"/>
    <cellStyle name="40% - Accent6 8 3 2" xfId="3277"/>
    <cellStyle name="40% - Accent6 8 3 2 2" xfId="6686"/>
    <cellStyle name="40% - Accent6 8 3 3" xfId="5688"/>
    <cellStyle name="40% - Accent6 8 4" xfId="2462"/>
    <cellStyle name="40% - Accent6 8 4 2" xfId="3547"/>
    <cellStyle name="40% - Accent6 8 4 2 2" xfId="6956"/>
    <cellStyle name="40% - Accent6 8 4 3" xfId="5958"/>
    <cellStyle name="40% - Accent6 8 5" xfId="2022"/>
    <cellStyle name="40% - Accent6 8 5 2" xfId="3117"/>
    <cellStyle name="40% - Accent6 8 5 2 2" xfId="6526"/>
    <cellStyle name="40% - Accent6 8 5 3" xfId="5528"/>
    <cellStyle name="40% - Accent6 8 6" xfId="1743"/>
    <cellStyle name="40% - Accent6 8 6 2" xfId="5253"/>
    <cellStyle name="40% - Accent6 8 7" xfId="2842"/>
    <cellStyle name="40% - Accent6 8 7 2" xfId="6251"/>
    <cellStyle name="40% - Accent6 8 8" xfId="3833"/>
    <cellStyle name="40% - Accent6 9" xfId="1174"/>
    <cellStyle name="40% - Accent6 9 2" xfId="2119"/>
    <cellStyle name="40% - Accent6 9 2 2" xfId="3209"/>
    <cellStyle name="40% - Accent6 9 2 2 2" xfId="6618"/>
    <cellStyle name="40% - Accent6 9 2 3" xfId="5620"/>
    <cellStyle name="40% - Accent6 9 3" xfId="2392"/>
    <cellStyle name="40% - Accent6 9 3 2" xfId="3479"/>
    <cellStyle name="40% - Accent6 9 3 2 2" xfId="6888"/>
    <cellStyle name="40% - Accent6 9 3 3" xfId="5890"/>
    <cellStyle name="40% - Accent6 9 4" xfId="1962"/>
    <cellStyle name="40% - Accent6 9 4 2" xfId="3057"/>
    <cellStyle name="40% - Accent6 9 4 2 2" xfId="6466"/>
    <cellStyle name="40% - Accent6 9 4 3" xfId="5468"/>
    <cellStyle name="40% - Accent6 9 5" xfId="1674"/>
    <cellStyle name="40% - Accent6 9 5 2" xfId="5185"/>
    <cellStyle name="40% - Accent6 9 6" xfId="2772"/>
    <cellStyle name="40% - Accent6 9 6 2" xfId="6183"/>
    <cellStyle name="40% - Accent6 9 7" xfId="3773"/>
    <cellStyle name="6" xfId="13"/>
    <cellStyle name="6_BSC" xfId="14"/>
    <cellStyle name="6_KPI_sheet_olefin_version_final1" xfId="15"/>
    <cellStyle name="6_KPI_sheet_olefin_version_final11" xfId="16"/>
    <cellStyle name="6_KPI_sheet_PO_version_final1" xfId="17"/>
    <cellStyle name="6_Man (2)" xfId="18"/>
    <cellStyle name="6_Man (2)_mosirep01.xls Chart 1" xfId="19"/>
    <cellStyle name="6_Man (2)_SITE2001" xfId="20"/>
    <cellStyle name="6_Os.01" xfId="21"/>
    <cellStyle name="60 % - Akzent1 2" xfId="168"/>
    <cellStyle name="60 % - Akzent1 2 2" xfId="3879"/>
    <cellStyle name="60 % - Akzent2 2" xfId="169"/>
    <cellStyle name="60 % - Akzent2 2 2" xfId="3880"/>
    <cellStyle name="60 % - Akzent3 2" xfId="170"/>
    <cellStyle name="60 % - Akzent3 2 2" xfId="3881"/>
    <cellStyle name="60 % - Akzent4 2" xfId="171"/>
    <cellStyle name="60 % - Akzent4 2 2" xfId="3882"/>
    <cellStyle name="60 % - Akzent5 2" xfId="172"/>
    <cellStyle name="60 % - Akzent5 2 2" xfId="3883"/>
    <cellStyle name="60 % - Akzent6 2" xfId="173"/>
    <cellStyle name="60 % - Akzent6 2 2" xfId="3884"/>
    <cellStyle name="60% - Accent1" xfId="174"/>
    <cellStyle name="60% - Accent1 2" xfId="373"/>
    <cellStyle name="60% - Accent1 2 2" xfId="593"/>
    <cellStyle name="60% - Accent1 2 2 2" xfId="4021"/>
    <cellStyle name="60% - Accent1 2 3" xfId="4022"/>
    <cellStyle name="60% - Accent1 2 4" xfId="4398"/>
    <cellStyle name="60% - Accent1 2 5" xfId="3925"/>
    <cellStyle name="60% - Accent1 3" xfId="594"/>
    <cellStyle name="60% - Accent1 4" xfId="595"/>
    <cellStyle name="60% - Accent1 5" xfId="510"/>
    <cellStyle name="60% - Accent2" xfId="175"/>
    <cellStyle name="60% - Accent2 2" xfId="374"/>
    <cellStyle name="60% - Accent2 2 2" xfId="596"/>
    <cellStyle name="60% - Accent2 2 2 2" xfId="4023"/>
    <cellStyle name="60% - Accent2 2 3" xfId="4024"/>
    <cellStyle name="60% - Accent2 2 4" xfId="4399"/>
    <cellStyle name="60% - Accent2 2 5" xfId="3926"/>
    <cellStyle name="60% - Accent2 3" xfId="597"/>
    <cellStyle name="60% - Accent2 4" xfId="598"/>
    <cellStyle name="60% - Accent2 5" xfId="514"/>
    <cellStyle name="60% - Accent3" xfId="176"/>
    <cellStyle name="60% - Accent3 2" xfId="375"/>
    <cellStyle name="60% - Accent3 2 2" xfId="599"/>
    <cellStyle name="60% - Accent3 2 2 2" xfId="4025"/>
    <cellStyle name="60% - Accent3 2 3" xfId="4026"/>
    <cellStyle name="60% - Accent3 2 4" xfId="4400"/>
    <cellStyle name="60% - Accent3 2 5" xfId="3927"/>
    <cellStyle name="60% - Accent3 3" xfId="600"/>
    <cellStyle name="60% - Accent3 4" xfId="601"/>
    <cellStyle name="60% - Accent3 5" xfId="518"/>
    <cellStyle name="60% - Accent4" xfId="177"/>
    <cellStyle name="60% - Accent4 2" xfId="376"/>
    <cellStyle name="60% - Accent4 2 2" xfId="602"/>
    <cellStyle name="60% - Accent4 2 2 2" xfId="4027"/>
    <cellStyle name="60% - Accent4 2 3" xfId="4028"/>
    <cellStyle name="60% - Accent4 2 4" xfId="4401"/>
    <cellStyle name="60% - Accent4 2 5" xfId="3928"/>
    <cellStyle name="60% - Accent4 3" xfId="603"/>
    <cellStyle name="60% - Accent4 4" xfId="604"/>
    <cellStyle name="60% - Accent4 5" xfId="522"/>
    <cellStyle name="60% - Accent5" xfId="178"/>
    <cellStyle name="60% - Accent5 2" xfId="377"/>
    <cellStyle name="60% - Accent5 2 2" xfId="605"/>
    <cellStyle name="60% - Accent5 2 2 2" xfId="4029"/>
    <cellStyle name="60% - Accent5 2 3" xfId="4030"/>
    <cellStyle name="60% - Accent5 2 4" xfId="4402"/>
    <cellStyle name="60% - Accent5 2 5" xfId="3929"/>
    <cellStyle name="60% - Accent5 3" xfId="606"/>
    <cellStyle name="60% - Accent5 4" xfId="607"/>
    <cellStyle name="60% - Accent5 5" xfId="526"/>
    <cellStyle name="60% - Accent6" xfId="179"/>
    <cellStyle name="60% - Accent6 2" xfId="378"/>
    <cellStyle name="60% - Accent6 2 2" xfId="608"/>
    <cellStyle name="60% - Accent6 2 2 2" xfId="4031"/>
    <cellStyle name="60% - Accent6 2 3" xfId="4032"/>
    <cellStyle name="60% - Accent6 2 4" xfId="4403"/>
    <cellStyle name="60% - Accent6 2 5" xfId="3930"/>
    <cellStyle name="60% - Accent6 3" xfId="609"/>
    <cellStyle name="60% - Accent6 4" xfId="610"/>
    <cellStyle name="60% - Accent6 5" xfId="530"/>
    <cellStyle name="Accent1" xfId="180"/>
    <cellStyle name="Accent1 - 20%" xfId="798"/>
    <cellStyle name="Accent1 - 40%" xfId="799"/>
    <cellStyle name="Accent1 - 60%" xfId="800"/>
    <cellStyle name="Accent1 2" xfId="379"/>
    <cellStyle name="Accent1 2 2" xfId="611"/>
    <cellStyle name="Accent1 2 2 2" xfId="4033"/>
    <cellStyle name="Accent1 2 3" xfId="4034"/>
    <cellStyle name="Accent1 2 4" xfId="4404"/>
    <cellStyle name="Accent1 2 5" xfId="3931"/>
    <cellStyle name="Accent1 3" xfId="612"/>
    <cellStyle name="Accent1 4" xfId="613"/>
    <cellStyle name="Accent1 5" xfId="801"/>
    <cellStyle name="Accent1 6" xfId="507"/>
    <cellStyle name="Accent1 7" xfId="7125"/>
    <cellStyle name="Accent2" xfId="181"/>
    <cellStyle name="Accent2 - 20%" xfId="802"/>
    <cellStyle name="Accent2 - 40%" xfId="803"/>
    <cellStyle name="Accent2 - 60%" xfId="804"/>
    <cellStyle name="Accent2 2" xfId="380"/>
    <cellStyle name="Accent2 2 2" xfId="614"/>
    <cellStyle name="Accent2 2 2 2" xfId="4035"/>
    <cellStyle name="Accent2 2 3" xfId="4036"/>
    <cellStyle name="Accent2 2 4" xfId="4405"/>
    <cellStyle name="Accent2 2 5" xfId="3932"/>
    <cellStyle name="Accent2 3" xfId="615"/>
    <cellStyle name="Accent2 4" xfId="616"/>
    <cellStyle name="Accent2 5" xfId="805"/>
    <cellStyle name="Accent2 6" xfId="511"/>
    <cellStyle name="Accent2 7" xfId="7126"/>
    <cellStyle name="Accent3" xfId="182"/>
    <cellStyle name="Accent3 - 20%" xfId="806"/>
    <cellStyle name="Accent3 - 40%" xfId="807"/>
    <cellStyle name="Accent3 - 60%" xfId="808"/>
    <cellStyle name="Accent3 2" xfId="381"/>
    <cellStyle name="Accent3 2 2" xfId="617"/>
    <cellStyle name="Accent3 2 2 2" xfId="4037"/>
    <cellStyle name="Accent3 2 3" xfId="4038"/>
    <cellStyle name="Accent3 2 4" xfId="4406"/>
    <cellStyle name="Accent3 2 5" xfId="3933"/>
    <cellStyle name="Accent3 3" xfId="618"/>
    <cellStyle name="Accent3 4" xfId="619"/>
    <cellStyle name="Accent3 5" xfId="809"/>
    <cellStyle name="Accent3 6" xfId="515"/>
    <cellStyle name="Accent3 7" xfId="7127"/>
    <cellStyle name="Accent4" xfId="183"/>
    <cellStyle name="Accent4 - 20%" xfId="810"/>
    <cellStyle name="Accent4 - 40%" xfId="811"/>
    <cellStyle name="Accent4 - 60%" xfId="812"/>
    <cellStyle name="Accent4 2" xfId="382"/>
    <cellStyle name="Accent4 2 2" xfId="620"/>
    <cellStyle name="Accent4 2 2 2" xfId="4039"/>
    <cellStyle name="Accent4 2 3" xfId="4040"/>
    <cellStyle name="Accent4 2 4" xfId="4407"/>
    <cellStyle name="Accent4 2 5" xfId="3934"/>
    <cellStyle name="Accent4 3" xfId="621"/>
    <cellStyle name="Accent4 4" xfId="622"/>
    <cellStyle name="Accent4 5" xfId="813"/>
    <cellStyle name="Accent4 6" xfId="519"/>
    <cellStyle name="Accent4 7" xfId="7128"/>
    <cellStyle name="Accent5" xfId="184"/>
    <cellStyle name="Accent5 - 20%" xfId="814"/>
    <cellStyle name="Accent5 - 40%" xfId="815"/>
    <cellStyle name="Accent5 - 60%" xfId="816"/>
    <cellStyle name="Accent5 2" xfId="383"/>
    <cellStyle name="Accent5 2 2" xfId="623"/>
    <cellStyle name="Accent5 2 2 2" xfId="4041"/>
    <cellStyle name="Accent5 2 3" xfId="4042"/>
    <cellStyle name="Accent5 2 4" xfId="4408"/>
    <cellStyle name="Accent5 2 5" xfId="3935"/>
    <cellStyle name="Accent5 3" xfId="624"/>
    <cellStyle name="Accent5 4" xfId="625"/>
    <cellStyle name="Accent5 5" xfId="817"/>
    <cellStyle name="Accent5 6" xfId="523"/>
    <cellStyle name="Accent5 7" xfId="7129"/>
    <cellStyle name="Accent6" xfId="185"/>
    <cellStyle name="Accent6 - 20%" xfId="818"/>
    <cellStyle name="Accent6 - 40%" xfId="819"/>
    <cellStyle name="Accent6 - 60%" xfId="820"/>
    <cellStyle name="Accent6 2" xfId="384"/>
    <cellStyle name="Accent6 2 2" xfId="626"/>
    <cellStyle name="Accent6 2 2 2" xfId="4043"/>
    <cellStyle name="Accent6 2 3" xfId="4044"/>
    <cellStyle name="Accent6 2 4" xfId="4409"/>
    <cellStyle name="Accent6 2 5" xfId="3936"/>
    <cellStyle name="Accent6 3" xfId="627"/>
    <cellStyle name="Accent6 4" xfId="628"/>
    <cellStyle name="Accent6 5" xfId="821"/>
    <cellStyle name="Accent6 6" xfId="527"/>
    <cellStyle name="Accent6 7" xfId="7130"/>
    <cellStyle name="Actual Date" xfId="22"/>
    <cellStyle name="Actual Date 2" xfId="385"/>
    <cellStyle name="Actual Date 2 2" xfId="1060"/>
    <cellStyle name="Actual Date 2 3" xfId="975"/>
    <cellStyle name="Actual Date 2 4" xfId="1243"/>
    <cellStyle name="Actual Date 2 5" xfId="1317"/>
    <cellStyle name="Actual Date 2 6" xfId="2662"/>
    <cellStyle name="Actual Date 2 7" xfId="3963"/>
    <cellStyle name="Actual Date 3" xfId="1059"/>
    <cellStyle name="Actual Date 4" xfId="974"/>
    <cellStyle name="Actual Date 5" xfId="1242"/>
    <cellStyle name="Actual Date 6" xfId="1310"/>
    <cellStyle name="Actual Date 7" xfId="2661"/>
    <cellStyle name="Akzent1 2" xfId="186"/>
    <cellStyle name="Akzent1 2 2" xfId="3885"/>
    <cellStyle name="Akzent2 2" xfId="187"/>
    <cellStyle name="Akzent2 2 2" xfId="3886"/>
    <cellStyle name="Akzent3 2" xfId="188"/>
    <cellStyle name="Akzent3 2 2" xfId="3887"/>
    <cellStyle name="Akzent4 2" xfId="189"/>
    <cellStyle name="Akzent4 2 2" xfId="3888"/>
    <cellStyle name="Akzent5 2" xfId="190"/>
    <cellStyle name="Akzent5 2 2" xfId="3889"/>
    <cellStyle name="Akzent6 2" xfId="191"/>
    <cellStyle name="Akzent6 2 2" xfId="3890"/>
    <cellStyle name="args.style" xfId="822"/>
    <cellStyle name="Ausgabe 2" xfId="192"/>
    <cellStyle name="Ausgabe 2 2" xfId="3909"/>
    <cellStyle name="B" xfId="23"/>
    <cellStyle name="Bad" xfId="193"/>
    <cellStyle name="Bad 2" xfId="386"/>
    <cellStyle name="Bad 2 2" xfId="629"/>
    <cellStyle name="Bad 2 2 2" xfId="4045"/>
    <cellStyle name="Bad 2 3" xfId="4046"/>
    <cellStyle name="Bad 2 4" xfId="4410"/>
    <cellStyle name="Bad 2 5" xfId="3937"/>
    <cellStyle name="Bad 3" xfId="630"/>
    <cellStyle name="Bad 4" xfId="631"/>
    <cellStyle name="Bad 5" xfId="498"/>
    <cellStyle name="Band 1" xfId="24"/>
    <cellStyle name="Band 2" xfId="25"/>
    <cellStyle name="Berechnung 2" xfId="194"/>
    <cellStyle name="Berechnung 2 2" xfId="3892"/>
    <cellStyle name="Blue" xfId="26"/>
    <cellStyle name="bn" xfId="387"/>
    <cellStyle name="c" xfId="27"/>
    <cellStyle name="Calc Currency (0)" xfId="823"/>
    <cellStyle name="Calc Currency (2)" xfId="824"/>
    <cellStyle name="Calc Percent (0)" xfId="825"/>
    <cellStyle name="Calc Percent (1)" xfId="826"/>
    <cellStyle name="Calc Percent (2)" xfId="827"/>
    <cellStyle name="Calc Units (0)" xfId="828"/>
    <cellStyle name="Calc Units (1)" xfId="829"/>
    <cellStyle name="Calc Units (2)" xfId="830"/>
    <cellStyle name="Calculation" xfId="195"/>
    <cellStyle name="Calculation 2" xfId="388"/>
    <cellStyle name="Calculation 2 2" xfId="632"/>
    <cellStyle name="Calculation 2 2 2" xfId="4047"/>
    <cellStyle name="Calculation 2 3" xfId="4048"/>
    <cellStyle name="Calculation 2 4" xfId="4411"/>
    <cellStyle name="Calculation 2 5" xfId="3938"/>
    <cellStyle name="Calculation 3" xfId="633"/>
    <cellStyle name="Calculation 4" xfId="634"/>
    <cellStyle name="Calculation 5" xfId="502"/>
    <cellStyle name="Changed no." xfId="28"/>
    <cellStyle name="Check Cell" xfId="196"/>
    <cellStyle name="Check Cell 2" xfId="389"/>
    <cellStyle name="Check Cell 2 2" xfId="635"/>
    <cellStyle name="Check Cell 2 2 2" xfId="4049"/>
    <cellStyle name="Check Cell 2 3" xfId="4050"/>
    <cellStyle name="Check Cell 2 4" xfId="4412"/>
    <cellStyle name="Check Cell 2 5" xfId="3939"/>
    <cellStyle name="Check Cell 3" xfId="636"/>
    <cellStyle name="Check Cell 4" xfId="637"/>
    <cellStyle name="Check Cell 5" xfId="504"/>
    <cellStyle name="ColumnHeadings" xfId="29"/>
    <cellStyle name="ColumnHeadings2" xfId="30"/>
    <cellStyle name="Comma" xfId="7153" builtinId="3"/>
    <cellStyle name="Comma [0] 2" xfId="4051"/>
    <cellStyle name="Comma [0] 2 2" xfId="4559"/>
    <cellStyle name="Comma [0] 3" xfId="4052"/>
    <cellStyle name="Comma [0] 3 2" xfId="4560"/>
    <cellStyle name="Comma [00]" xfId="831"/>
    <cellStyle name="Comma [-6]" xfId="391"/>
    <cellStyle name="Comma [-6] 2" xfId="1061"/>
    <cellStyle name="Comma [-6] 2 2" xfId="4053"/>
    <cellStyle name="Comma [-6] 3" xfId="976"/>
    <cellStyle name="Comma [-6] 4" xfId="1244"/>
    <cellStyle name="Comma [-6] 5" xfId="1313"/>
    <cellStyle name="Comma [-6] 6" xfId="2663"/>
    <cellStyle name="Comma [-9]" xfId="392"/>
    <cellStyle name="Comma [-9] 2" xfId="1062"/>
    <cellStyle name="Comma [-9] 2 2" xfId="4054"/>
    <cellStyle name="Comma [-9] 3" xfId="977"/>
    <cellStyle name="Comma [-9] 4" xfId="1245"/>
    <cellStyle name="Comma [-9] 5" xfId="1217"/>
    <cellStyle name="Comma [-9] 6" xfId="2664"/>
    <cellStyle name="Comma 10" xfId="393"/>
    <cellStyle name="Comma 10 2" xfId="1063"/>
    <cellStyle name="Comma 10 2 2" xfId="4561"/>
    <cellStyle name="Comma 10 2 3" xfId="4966"/>
    <cellStyle name="Comma 10 3" xfId="978"/>
    <cellStyle name="Comma 10 3 2" xfId="4958"/>
    <cellStyle name="Comma 10 4" xfId="1246"/>
    <cellStyle name="Comma 10 4 2" xfId="4977"/>
    <cellStyle name="Comma 10 5" xfId="1216"/>
    <cellStyle name="Comma 10 5 2" xfId="4976"/>
    <cellStyle name="Comma 10 6" xfId="2665"/>
    <cellStyle name="Comma 10 6 2" xfId="6117"/>
    <cellStyle name="Comma 10 7" xfId="4935"/>
    <cellStyle name="Comma 100" xfId="4308"/>
    <cellStyle name="Comma 100 2" xfId="4413"/>
    <cellStyle name="Comma 100 2 2" xfId="4562"/>
    <cellStyle name="Comma 100 3" xfId="4563"/>
    <cellStyle name="Comma 101" xfId="4309"/>
    <cellStyle name="Comma 101 2" xfId="4414"/>
    <cellStyle name="Comma 101 2 2" xfId="4564"/>
    <cellStyle name="Comma 101 3" xfId="4565"/>
    <cellStyle name="Comma 102" xfId="4415"/>
    <cellStyle name="Comma 102 2" xfId="4566"/>
    <cellStyle name="Comma 103" xfId="4416"/>
    <cellStyle name="Comma 103 2" xfId="4567"/>
    <cellStyle name="Comma 104" xfId="4417"/>
    <cellStyle name="Comma 104 2" xfId="4568"/>
    <cellStyle name="Comma 105" xfId="4418"/>
    <cellStyle name="Comma 105 2" xfId="4569"/>
    <cellStyle name="Comma 106" xfId="4419"/>
    <cellStyle name="Comma 106 2" xfId="4570"/>
    <cellStyle name="Comma 107" xfId="4420"/>
    <cellStyle name="Comma 107 2" xfId="4571"/>
    <cellStyle name="Comma 108" xfId="4421"/>
    <cellStyle name="Comma 108 2" xfId="4572"/>
    <cellStyle name="Comma 109" xfId="4422"/>
    <cellStyle name="Comma 109 2" xfId="4573"/>
    <cellStyle name="Comma 11" xfId="638"/>
    <cellStyle name="Comma 11 2" xfId="4132"/>
    <cellStyle name="Comma 11 2 2" xfId="4574"/>
    <cellStyle name="Comma 11 3" xfId="4575"/>
    <cellStyle name="Comma 110" xfId="4423"/>
    <cellStyle name="Comma 110 2" xfId="4576"/>
    <cellStyle name="Comma 111" xfId="4424"/>
    <cellStyle name="Comma 111 2" xfId="4577"/>
    <cellStyle name="Comma 112" xfId="4425"/>
    <cellStyle name="Comma 112 2" xfId="4578"/>
    <cellStyle name="Comma 113" xfId="4426"/>
    <cellStyle name="Comma 113 2" xfId="4579"/>
    <cellStyle name="Comma 114" xfId="4427"/>
    <cellStyle name="Comma 114 2" xfId="4580"/>
    <cellStyle name="Comma 115" xfId="4428"/>
    <cellStyle name="Comma 115 2" xfId="4581"/>
    <cellStyle name="Comma 116" xfId="4429"/>
    <cellStyle name="Comma 116 2" xfId="4582"/>
    <cellStyle name="Comma 117" xfId="4430"/>
    <cellStyle name="Comma 117 2" xfId="4583"/>
    <cellStyle name="Comma 118" xfId="4431"/>
    <cellStyle name="Comma 118 2" xfId="4584"/>
    <cellStyle name="Comma 119" xfId="4432"/>
    <cellStyle name="Comma 119 2" xfId="4585"/>
    <cellStyle name="Comma 12" xfId="639"/>
    <cellStyle name="Comma 12 2" xfId="4133"/>
    <cellStyle name="Comma 12 2 2" xfId="4586"/>
    <cellStyle name="Comma 12 3" xfId="4587"/>
    <cellStyle name="Comma 120" xfId="4433"/>
    <cellStyle name="Comma 120 2" xfId="4588"/>
    <cellStyle name="Comma 121" xfId="4434"/>
    <cellStyle name="Comma 121 2" xfId="4589"/>
    <cellStyle name="Comma 122" xfId="4435"/>
    <cellStyle name="Comma 122 2" xfId="4590"/>
    <cellStyle name="Comma 123" xfId="4436"/>
    <cellStyle name="Comma 123 2" xfId="4591"/>
    <cellStyle name="Comma 124" xfId="4437"/>
    <cellStyle name="Comma 124 2" xfId="4592"/>
    <cellStyle name="Comma 125" xfId="4438"/>
    <cellStyle name="Comma 125 2" xfId="4593"/>
    <cellStyle name="Comma 126" xfId="4439"/>
    <cellStyle name="Comma 126 2" xfId="4594"/>
    <cellStyle name="Comma 127" xfId="4440"/>
    <cellStyle name="Comma 127 2" xfId="4595"/>
    <cellStyle name="Comma 128" xfId="4441"/>
    <cellStyle name="Comma 128 2" xfId="4596"/>
    <cellStyle name="Comma 129" xfId="4442"/>
    <cellStyle name="Comma 129 2" xfId="4597"/>
    <cellStyle name="Comma 13" xfId="640"/>
    <cellStyle name="Comma 13 2" xfId="4134"/>
    <cellStyle name="Comma 13 2 2" xfId="4598"/>
    <cellStyle name="Comma 13 3" xfId="4599"/>
    <cellStyle name="Comma 130" xfId="4600"/>
    <cellStyle name="Comma 131" xfId="4601"/>
    <cellStyle name="Comma 132" xfId="4602"/>
    <cellStyle name="Comma 133" xfId="4603"/>
    <cellStyle name="Comma 134" xfId="4604"/>
    <cellStyle name="Comma 135" xfId="4605"/>
    <cellStyle name="Comma 136" xfId="4606"/>
    <cellStyle name="Comma 137" xfId="4607"/>
    <cellStyle name="Comma 138" xfId="4608"/>
    <cellStyle name="Comma 139" xfId="4609"/>
    <cellStyle name="Comma 14" xfId="641"/>
    <cellStyle name="Comma 14 2" xfId="4135"/>
    <cellStyle name="Comma 14 2 2" xfId="4610"/>
    <cellStyle name="Comma 14 3" xfId="4611"/>
    <cellStyle name="Comma 140" xfId="4612"/>
    <cellStyle name="Comma 141" xfId="4613"/>
    <cellStyle name="Comma 142" xfId="4614"/>
    <cellStyle name="Comma 143" xfId="4615"/>
    <cellStyle name="Comma 144" xfId="4616"/>
    <cellStyle name="Comma 145" xfId="4617"/>
    <cellStyle name="Comma 146" xfId="4618"/>
    <cellStyle name="Comma 147" xfId="4619"/>
    <cellStyle name="Comma 148" xfId="4620"/>
    <cellStyle name="Comma 149" xfId="4621"/>
    <cellStyle name="Comma 15" xfId="642"/>
    <cellStyle name="Comma 15 2" xfId="4055"/>
    <cellStyle name="Comma 15 2 2" xfId="4622"/>
    <cellStyle name="Comma 15 3" xfId="4236"/>
    <cellStyle name="Comma 15 3 2" xfId="4623"/>
    <cellStyle name="Comma 15 4" xfId="4624"/>
    <cellStyle name="Comma 15 5" xfId="4625"/>
    <cellStyle name="Comma 150" xfId="4626"/>
    <cellStyle name="Comma 151" xfId="4627"/>
    <cellStyle name="Comma 152" xfId="4628"/>
    <cellStyle name="Comma 153" xfId="4629"/>
    <cellStyle name="Comma 154" xfId="4630"/>
    <cellStyle name="Comma 155" xfId="4631"/>
    <cellStyle name="Comma 156" xfId="4632"/>
    <cellStyle name="Comma 157" xfId="4633"/>
    <cellStyle name="Comma 158" xfId="4634"/>
    <cellStyle name="Comma 159" xfId="4635"/>
    <cellStyle name="Comma 16" xfId="643"/>
    <cellStyle name="Comma 16 2" xfId="4056"/>
    <cellStyle name="Comma 16 2 2" xfId="4237"/>
    <cellStyle name="Comma 16 2 2 2" xfId="4443"/>
    <cellStyle name="Comma 16 2 2 2 2" xfId="4636"/>
    <cellStyle name="Comma 16 2 2 3" xfId="4637"/>
    <cellStyle name="Comma 16 2 3" xfId="4444"/>
    <cellStyle name="Comma 16 2 3 2" xfId="4638"/>
    <cellStyle name="Comma 16 2 4" xfId="4639"/>
    <cellStyle name="Comma 16 3" xfId="4136"/>
    <cellStyle name="Comma 16 3 2" xfId="4238"/>
    <cellStyle name="Comma 16 3 2 2" xfId="4445"/>
    <cellStyle name="Comma 16 3 2 2 2" xfId="4640"/>
    <cellStyle name="Comma 16 3 2 3" xfId="4641"/>
    <cellStyle name="Comma 16 3 3" xfId="4446"/>
    <cellStyle name="Comma 16 3 3 2" xfId="4642"/>
    <cellStyle name="Comma 16 3 4" xfId="4643"/>
    <cellStyle name="Comma 16 4" xfId="4239"/>
    <cellStyle name="Comma 16 4 2" xfId="4644"/>
    <cellStyle name="Comma 16 5" xfId="4447"/>
    <cellStyle name="Comma 16 5 2" xfId="4645"/>
    <cellStyle name="Comma 16 6" xfId="4646"/>
    <cellStyle name="Comma 16 7" xfId="4647"/>
    <cellStyle name="Comma 160" xfId="4648"/>
    <cellStyle name="Comma 161" xfId="4649"/>
    <cellStyle name="Comma 162" xfId="390"/>
    <cellStyle name="Comma 163" xfId="7122"/>
    <cellStyle name="Comma 164" xfId="7138"/>
    <cellStyle name="Comma 164 2" xfId="7157"/>
    <cellStyle name="Comma 165" xfId="7155"/>
    <cellStyle name="Comma 17" xfId="644"/>
    <cellStyle name="Comma 17 2" xfId="4057"/>
    <cellStyle name="Comma 17 2 2" xfId="4240"/>
    <cellStyle name="Comma 17 2 2 2" xfId="4448"/>
    <cellStyle name="Comma 17 2 2 2 2" xfId="4650"/>
    <cellStyle name="Comma 17 2 2 3" xfId="4651"/>
    <cellStyle name="Comma 17 2 3" xfId="4449"/>
    <cellStyle name="Comma 17 2 3 2" xfId="4652"/>
    <cellStyle name="Comma 17 2 4" xfId="4653"/>
    <cellStyle name="Comma 17 3" xfId="4137"/>
    <cellStyle name="Comma 17 3 2" xfId="4241"/>
    <cellStyle name="Comma 17 3 2 2" xfId="4450"/>
    <cellStyle name="Comma 17 3 2 2 2" xfId="4654"/>
    <cellStyle name="Comma 17 3 2 3" xfId="4655"/>
    <cellStyle name="Comma 17 3 3" xfId="4451"/>
    <cellStyle name="Comma 17 3 3 2" xfId="4656"/>
    <cellStyle name="Comma 17 3 4" xfId="4657"/>
    <cellStyle name="Comma 17 4" xfId="4242"/>
    <cellStyle name="Comma 17 4 2" xfId="4658"/>
    <cellStyle name="Comma 17 5" xfId="4452"/>
    <cellStyle name="Comma 17 5 2" xfId="4659"/>
    <cellStyle name="Comma 17 6" xfId="4660"/>
    <cellStyle name="Comma 17 7" xfId="4661"/>
    <cellStyle name="Comma 18" xfId="645"/>
    <cellStyle name="Comma 18 2" xfId="4243"/>
    <cellStyle name="Comma 18 2 2" xfId="4662"/>
    <cellStyle name="Comma 18 3" xfId="4663"/>
    <cellStyle name="Comma 18 4" xfId="4664"/>
    <cellStyle name="Comma 19" xfId="646"/>
    <cellStyle name="Comma 19 2" xfId="4244"/>
    <cellStyle name="Comma 19 2 2" xfId="4665"/>
    <cellStyle name="Comma 19 3" xfId="4666"/>
    <cellStyle name="Comma 2" xfId="277"/>
    <cellStyle name="Comma 2 10" xfId="394"/>
    <cellStyle name="Comma 2 2" xfId="647"/>
    <cellStyle name="Comma 2 2 2" xfId="648"/>
    <cellStyle name="Comma 2 2 2 2" xfId="4667"/>
    <cellStyle name="Comma 2 2 2 3" xfId="3959"/>
    <cellStyle name="Comma 2 2 3" xfId="4245"/>
    <cellStyle name="Comma 2 2 3 2" xfId="4668"/>
    <cellStyle name="Comma 2 2 4" xfId="4453"/>
    <cellStyle name="Comma 2 2 4 2" xfId="4669"/>
    <cellStyle name="Comma 2 2 5" xfId="4670"/>
    <cellStyle name="Comma 2 3" xfId="649"/>
    <cellStyle name="Comma 2 3 2" xfId="4671"/>
    <cellStyle name="Comma 2 4" xfId="650"/>
    <cellStyle name="Comma 2 4 2" xfId="4672"/>
    <cellStyle name="Comma 2 4 3" xfId="3960"/>
    <cellStyle name="Comma 2 5" xfId="4138"/>
    <cellStyle name="Comma 2 6" xfId="4139"/>
    <cellStyle name="Comma 2 6 2" xfId="4673"/>
    <cellStyle name="Comma 2 7" xfId="4454"/>
    <cellStyle name="Comma 2 8" xfId="4674"/>
    <cellStyle name="Comma 2 9" xfId="4675"/>
    <cellStyle name="Comma 20" xfId="651"/>
    <cellStyle name="Comma 20 2" xfId="4246"/>
    <cellStyle name="Comma 20 2 2" xfId="4676"/>
    <cellStyle name="Comma 20 3" xfId="4677"/>
    <cellStyle name="Comma 21" xfId="652"/>
    <cellStyle name="Comma 21 2" xfId="4247"/>
    <cellStyle name="Comma 21 2 2" xfId="4678"/>
    <cellStyle name="Comma 21 3" xfId="4679"/>
    <cellStyle name="Comma 22" xfId="653"/>
    <cellStyle name="Comma 22 2" xfId="4248"/>
    <cellStyle name="Comma 22 2 2" xfId="4680"/>
    <cellStyle name="Comma 22 3" xfId="4681"/>
    <cellStyle name="Comma 23" xfId="654"/>
    <cellStyle name="Comma 23 2" xfId="4249"/>
    <cellStyle name="Comma 23 2 2" xfId="4682"/>
    <cellStyle name="Comma 23 3" xfId="4683"/>
    <cellStyle name="Comma 24" xfId="655"/>
    <cellStyle name="Comma 24 2" xfId="4250"/>
    <cellStyle name="Comma 24 2 2" xfId="4684"/>
    <cellStyle name="Comma 24 3" xfId="4685"/>
    <cellStyle name="Comma 25" xfId="656"/>
    <cellStyle name="Comma 25 2" xfId="4251"/>
    <cellStyle name="Comma 25 2 2" xfId="4686"/>
    <cellStyle name="Comma 25 3" xfId="4687"/>
    <cellStyle name="Comma 26" xfId="657"/>
    <cellStyle name="Comma 26 2" xfId="4252"/>
    <cellStyle name="Comma 26 2 2" xfId="4688"/>
    <cellStyle name="Comma 26 3" xfId="4689"/>
    <cellStyle name="Comma 27" xfId="658"/>
    <cellStyle name="Comma 27 2" xfId="4253"/>
    <cellStyle name="Comma 27 2 2" xfId="4690"/>
    <cellStyle name="Comma 27 3" xfId="4691"/>
    <cellStyle name="Comma 28" xfId="659"/>
    <cellStyle name="Comma 28 2" xfId="4254"/>
    <cellStyle name="Comma 28 2 2" xfId="4692"/>
    <cellStyle name="Comma 28 3" xfId="4693"/>
    <cellStyle name="Comma 29" xfId="660"/>
    <cellStyle name="Comma 29 2" xfId="4255"/>
    <cellStyle name="Comma 29 2 2" xfId="4694"/>
    <cellStyle name="Comma 29 3" xfId="4695"/>
    <cellStyle name="Comma 3" xfId="285"/>
    <cellStyle name="Comma 3 10" xfId="395"/>
    <cellStyle name="Comma 3 2" xfId="311"/>
    <cellStyle name="Comma 3 2 2" xfId="4696"/>
    <cellStyle name="Comma 3 2 3" xfId="661"/>
    <cellStyle name="Comma 3 3" xfId="298"/>
    <cellStyle name="Comma 3 3 2" xfId="4697"/>
    <cellStyle name="Comma 3 3 3" xfId="662"/>
    <cellStyle name="Comma 3 4" xfId="1064"/>
    <cellStyle name="Comma 3 4 2" xfId="4256"/>
    <cellStyle name="Comma 3 4 2 2" xfId="4698"/>
    <cellStyle name="Comma 3 4 3" xfId="4699"/>
    <cellStyle name="Comma 3 4 4" xfId="4967"/>
    <cellStyle name="Comma 3 5" xfId="979"/>
    <cellStyle name="Comma 3 5 2" xfId="4700"/>
    <cellStyle name="Comma 3 5 3" xfId="4959"/>
    <cellStyle name="Comma 3 6" xfId="1247"/>
    <cellStyle name="Comma 3 6 2" xfId="4701"/>
    <cellStyle name="Comma 3 6 3" xfId="4978"/>
    <cellStyle name="Comma 3 7" xfId="1341"/>
    <cellStyle name="Comma 3 7 2" xfId="4702"/>
    <cellStyle name="Comma 3 7 3" xfId="4987"/>
    <cellStyle name="Comma 3 8" xfId="2666"/>
    <cellStyle name="Comma 3 8 2" xfId="6118"/>
    <cellStyle name="Comma 3 9" xfId="4936"/>
    <cellStyle name="Comma 30" xfId="663"/>
    <cellStyle name="Comma 30 2" xfId="4257"/>
    <cellStyle name="Comma 30 2 2" xfId="4703"/>
    <cellStyle name="Comma 30 3" xfId="4704"/>
    <cellStyle name="Comma 31" xfId="664"/>
    <cellStyle name="Comma 31 2" xfId="4258"/>
    <cellStyle name="Comma 31 2 2" xfId="4705"/>
    <cellStyle name="Comma 31 3" xfId="4706"/>
    <cellStyle name="Comma 32" xfId="665"/>
    <cellStyle name="Comma 32 2" xfId="4259"/>
    <cellStyle name="Comma 32 2 2" xfId="4707"/>
    <cellStyle name="Comma 32 3" xfId="4708"/>
    <cellStyle name="Comma 33" xfId="666"/>
    <cellStyle name="Comma 33 2" xfId="4260"/>
    <cellStyle name="Comma 33 2 2" xfId="4709"/>
    <cellStyle name="Comma 33 3" xfId="4710"/>
    <cellStyle name="Comma 34" xfId="667"/>
    <cellStyle name="Comma 34 2" xfId="4261"/>
    <cellStyle name="Comma 34 2 2" xfId="4711"/>
    <cellStyle name="Comma 34 3" xfId="4712"/>
    <cellStyle name="Comma 35" xfId="668"/>
    <cellStyle name="Comma 35 2" xfId="3984"/>
    <cellStyle name="Comma 35 2 2" xfId="4262"/>
    <cellStyle name="Comma 35 2 2 2" xfId="4713"/>
    <cellStyle name="Comma 35 2 3" xfId="4714"/>
    <cellStyle name="Comma 35 3" xfId="4058"/>
    <cellStyle name="Comma 35 3 2" xfId="4715"/>
    <cellStyle name="Comma 35 4" xfId="4716"/>
    <cellStyle name="Comma 36" xfId="669"/>
    <cellStyle name="Comma 36 2" xfId="3985"/>
    <cellStyle name="Comma 36 2 2" xfId="4263"/>
    <cellStyle name="Comma 36 2 2 2" xfId="4717"/>
    <cellStyle name="Comma 36 2 3" xfId="4718"/>
    <cellStyle name="Comma 36 3" xfId="4059"/>
    <cellStyle name="Comma 36 3 2" xfId="4719"/>
    <cellStyle name="Comma 36 4" xfId="4720"/>
    <cellStyle name="Comma 37" xfId="670"/>
    <cellStyle name="Comma 37 2" xfId="3986"/>
    <cellStyle name="Comma 37 2 2" xfId="4264"/>
    <cellStyle name="Comma 37 2 2 2" xfId="4721"/>
    <cellStyle name="Comma 37 2 3" xfId="4722"/>
    <cellStyle name="Comma 37 3" xfId="4060"/>
    <cellStyle name="Comma 37 3 2" xfId="4723"/>
    <cellStyle name="Comma 37 4" xfId="4724"/>
    <cellStyle name="Comma 38" xfId="832"/>
    <cellStyle name="Comma 38 2" xfId="3987"/>
    <cellStyle name="Comma 38 2 2" xfId="4265"/>
    <cellStyle name="Comma 38 2 2 2" xfId="4725"/>
    <cellStyle name="Comma 38 2 3" xfId="4726"/>
    <cellStyle name="Comma 38 3" xfId="4061"/>
    <cellStyle name="Comma 38 3 2" xfId="4727"/>
    <cellStyle name="Comma 38 4" xfId="4728"/>
    <cellStyle name="Comma 39" xfId="833"/>
    <cellStyle name="Comma 39 2" xfId="3988"/>
    <cellStyle name="Comma 39 2 2" xfId="4266"/>
    <cellStyle name="Comma 39 2 2 2" xfId="4729"/>
    <cellStyle name="Comma 39 2 3" xfId="4730"/>
    <cellStyle name="Comma 39 3" xfId="4062"/>
    <cellStyle name="Comma 39 3 2" xfId="4731"/>
    <cellStyle name="Comma 39 4" xfId="4732"/>
    <cellStyle name="Comma 4" xfId="231"/>
    <cellStyle name="Comma 4 10" xfId="396"/>
    <cellStyle name="Comma 4 11" xfId="287"/>
    <cellStyle name="Comma 4 2" xfId="313"/>
    <cellStyle name="Comma 4 2 2" xfId="3961"/>
    <cellStyle name="Comma 4 2 3" xfId="671"/>
    <cellStyle name="Comma 4 3" xfId="300"/>
    <cellStyle name="Comma 4 3 2" xfId="4267"/>
    <cellStyle name="Comma 4 3 2 2" xfId="4733"/>
    <cellStyle name="Comma 4 3 3" xfId="4734"/>
    <cellStyle name="Comma 4 3 4" xfId="4968"/>
    <cellStyle name="Comma 4 3 5" xfId="1065"/>
    <cellStyle name="Comma 4 4" xfId="980"/>
    <cellStyle name="Comma 4 4 2" xfId="4735"/>
    <cellStyle name="Comma 4 4 3" xfId="4960"/>
    <cellStyle name="Comma 4 5" xfId="1248"/>
    <cellStyle name="Comma 4 5 2" xfId="4736"/>
    <cellStyle name="Comma 4 5 3" xfId="4979"/>
    <cellStyle name="Comma 4 6" xfId="1140"/>
    <cellStyle name="Comma 4 6 2" xfId="4974"/>
    <cellStyle name="Comma 4 7" xfId="2667"/>
    <cellStyle name="Comma 4 7 2" xfId="6119"/>
    <cellStyle name="Comma 4 8" xfId="3940"/>
    <cellStyle name="Comma 4 9" xfId="4937"/>
    <cellStyle name="Comma 40" xfId="834"/>
    <cellStyle name="Comma 40 2" xfId="3989"/>
    <cellStyle name="Comma 40 2 2" xfId="4268"/>
    <cellStyle name="Comma 40 2 2 2" xfId="4737"/>
    <cellStyle name="Comma 40 2 3" xfId="4738"/>
    <cellStyle name="Comma 40 3" xfId="4063"/>
    <cellStyle name="Comma 40 3 2" xfId="4739"/>
    <cellStyle name="Comma 40 4" xfId="4740"/>
    <cellStyle name="Comma 41" xfId="835"/>
    <cellStyle name="Comma 41 2" xfId="4269"/>
    <cellStyle name="Comma 41 2 2" xfId="4741"/>
    <cellStyle name="Comma 41 3" xfId="4742"/>
    <cellStyle name="Comma 42" xfId="836"/>
    <cellStyle name="Comma 42 2" xfId="4270"/>
    <cellStyle name="Comma 42 2 2" xfId="4743"/>
    <cellStyle name="Comma 42 3" xfId="4744"/>
    <cellStyle name="Comma 43" xfId="837"/>
    <cellStyle name="Comma 43 2" xfId="4271"/>
    <cellStyle name="Comma 43 2 2" xfId="4745"/>
    <cellStyle name="Comma 43 3" xfId="4746"/>
    <cellStyle name="Comma 44" xfId="838"/>
    <cellStyle name="Comma 44 2" xfId="4272"/>
    <cellStyle name="Comma 44 2 2" xfId="4747"/>
    <cellStyle name="Comma 44 3" xfId="4748"/>
    <cellStyle name="Comma 45" xfId="839"/>
    <cellStyle name="Comma 45 2" xfId="4273"/>
    <cellStyle name="Comma 45 2 2" xfId="4749"/>
    <cellStyle name="Comma 45 3" xfId="4750"/>
    <cellStyle name="Comma 46" xfId="840"/>
    <cellStyle name="Comma 46 2" xfId="4274"/>
    <cellStyle name="Comma 46 2 2" xfId="4751"/>
    <cellStyle name="Comma 46 3" xfId="4752"/>
    <cellStyle name="Comma 47" xfId="3990"/>
    <cellStyle name="Comma 47 2" xfId="4753"/>
    <cellStyle name="Comma 48" xfId="3991"/>
    <cellStyle name="Comma 48 2" xfId="4754"/>
    <cellStyle name="Comma 49" xfId="4064"/>
    <cellStyle name="Comma 49 2" xfId="4275"/>
    <cellStyle name="Comma 49 2 2" xfId="4755"/>
    <cellStyle name="Comma 49 3" xfId="4756"/>
    <cellStyle name="Comma 5" xfId="397"/>
    <cellStyle name="Comma 5 10" xfId="4938"/>
    <cellStyle name="Comma 5 11" xfId="7133"/>
    <cellStyle name="Comma 5 2" xfId="672"/>
    <cellStyle name="Comma 5 2 2" xfId="4140"/>
    <cellStyle name="Comma 5 2 2 2" xfId="4757"/>
    <cellStyle name="Comma 5 2 3" xfId="4758"/>
    <cellStyle name="Comma 5 3" xfId="673"/>
    <cellStyle name="Comma 5 3 2" xfId="4141"/>
    <cellStyle name="Comma 5 3 2 2" xfId="4759"/>
    <cellStyle name="Comma 5 3 3" xfId="4760"/>
    <cellStyle name="Comma 5 4" xfId="674"/>
    <cellStyle name="Comma 5 4 2" xfId="4761"/>
    <cellStyle name="Comma 5 5" xfId="1066"/>
    <cellStyle name="Comma 5 5 2" xfId="4762"/>
    <cellStyle name="Comma 5 5 3" xfId="4969"/>
    <cellStyle name="Comma 5 6" xfId="981"/>
    <cellStyle name="Comma 5 6 2" xfId="4961"/>
    <cellStyle name="Comma 5 7" xfId="1249"/>
    <cellStyle name="Comma 5 7 2" xfId="4980"/>
    <cellStyle name="Comma 5 8" xfId="1431"/>
    <cellStyle name="Comma 5 8 2" xfId="4990"/>
    <cellStyle name="Comma 5 9" xfId="2668"/>
    <cellStyle name="Comma 5 9 2" xfId="6120"/>
    <cellStyle name="Comma 50" xfId="4065"/>
    <cellStyle name="Comma 50 2" xfId="4276"/>
    <cellStyle name="Comma 50 2 2" xfId="4763"/>
    <cellStyle name="Comma 50 3" xfId="4764"/>
    <cellStyle name="Comma 51" xfId="4066"/>
    <cellStyle name="Comma 51 2" xfId="4277"/>
    <cellStyle name="Comma 51 2 2" xfId="4765"/>
    <cellStyle name="Comma 51 3" xfId="4766"/>
    <cellStyle name="Comma 52" xfId="4067"/>
    <cellStyle name="Comma 52 2" xfId="4767"/>
    <cellStyle name="Comma 53" xfId="4068"/>
    <cellStyle name="Comma 53 2" xfId="4768"/>
    <cellStyle name="Comma 54" xfId="4142"/>
    <cellStyle name="Comma 54 2" xfId="4769"/>
    <cellStyle name="Comma 55" xfId="4143"/>
    <cellStyle name="Comma 55 2" xfId="4455"/>
    <cellStyle name="Comma 55 2 2" xfId="4770"/>
    <cellStyle name="Comma 55 3" xfId="4771"/>
    <cellStyle name="Comma 56" xfId="4144"/>
    <cellStyle name="Comma 56 2" xfId="4456"/>
    <cellStyle name="Comma 56 2 2" xfId="4772"/>
    <cellStyle name="Comma 56 3" xfId="4773"/>
    <cellStyle name="Comma 57" xfId="4145"/>
    <cellStyle name="Comma 57 2" xfId="4457"/>
    <cellStyle name="Comma 57 2 2" xfId="4774"/>
    <cellStyle name="Comma 57 3" xfId="4775"/>
    <cellStyle name="Comma 58" xfId="4146"/>
    <cellStyle name="Comma 58 2" xfId="4458"/>
    <cellStyle name="Comma 58 2 2" xfId="4776"/>
    <cellStyle name="Comma 58 3" xfId="4777"/>
    <cellStyle name="Comma 59" xfId="4147"/>
    <cellStyle name="Comma 59 2" xfId="4459"/>
    <cellStyle name="Comma 59 2 2" xfId="4778"/>
    <cellStyle name="Comma 59 3" xfId="4779"/>
    <cellStyle name="Comma 6" xfId="398"/>
    <cellStyle name="Comma 6 2" xfId="675"/>
    <cellStyle name="Comma 6 2 2" xfId="4780"/>
    <cellStyle name="Comma 6 3" xfId="1067"/>
    <cellStyle name="Comma 6 3 2" xfId="4278"/>
    <cellStyle name="Comma 6 3 2 2" xfId="4781"/>
    <cellStyle name="Comma 6 3 3" xfId="4782"/>
    <cellStyle name="Comma 6 3 4" xfId="4970"/>
    <cellStyle name="Comma 6 4" xfId="982"/>
    <cellStyle name="Comma 6 4 2" xfId="4783"/>
    <cellStyle name="Comma 6 4 3" xfId="4962"/>
    <cellStyle name="Comma 6 5" xfId="1250"/>
    <cellStyle name="Comma 6 5 2" xfId="4784"/>
    <cellStyle name="Comma 6 5 3" xfId="4981"/>
    <cellStyle name="Comma 6 6" xfId="1417"/>
    <cellStyle name="Comma 6 6 2" xfId="4785"/>
    <cellStyle name="Comma 6 6 3" xfId="4988"/>
    <cellStyle name="Comma 6 7" xfId="2669"/>
    <cellStyle name="Comma 6 7 2" xfId="6121"/>
    <cellStyle name="Comma 6 8" xfId="4939"/>
    <cellStyle name="Comma 60" xfId="4148"/>
    <cellStyle name="Comma 60 2" xfId="4460"/>
    <cellStyle name="Comma 60 2 2" xfId="4786"/>
    <cellStyle name="Comma 60 3" xfId="4787"/>
    <cellStyle name="Comma 61" xfId="4149"/>
    <cellStyle name="Comma 61 2" xfId="4461"/>
    <cellStyle name="Comma 61 2 2" xfId="4788"/>
    <cellStyle name="Comma 61 3" xfId="4789"/>
    <cellStyle name="Comma 62" xfId="4150"/>
    <cellStyle name="Comma 62 2" xfId="4462"/>
    <cellStyle name="Comma 62 2 2" xfId="4790"/>
    <cellStyle name="Comma 62 3" xfId="4791"/>
    <cellStyle name="Comma 63" xfId="4151"/>
    <cellStyle name="Comma 63 2" xfId="4463"/>
    <cellStyle name="Comma 63 2 2" xfId="4792"/>
    <cellStyle name="Comma 63 3" xfId="4793"/>
    <cellStyle name="Comma 64" xfId="4152"/>
    <cellStyle name="Comma 64 2" xfId="4464"/>
    <cellStyle name="Comma 64 2 2" xfId="4794"/>
    <cellStyle name="Comma 64 3" xfId="4795"/>
    <cellStyle name="Comma 65" xfId="4153"/>
    <cellStyle name="Comma 65 2" xfId="4465"/>
    <cellStyle name="Comma 65 2 2" xfId="4796"/>
    <cellStyle name="Comma 65 3" xfId="4797"/>
    <cellStyle name="Comma 66" xfId="4154"/>
    <cellStyle name="Comma 66 2" xfId="4466"/>
    <cellStyle name="Comma 66 2 2" xfId="4798"/>
    <cellStyle name="Comma 66 3" xfId="4799"/>
    <cellStyle name="Comma 67" xfId="4155"/>
    <cellStyle name="Comma 67 2" xfId="4467"/>
    <cellStyle name="Comma 67 2 2" xfId="4800"/>
    <cellStyle name="Comma 67 3" xfId="4801"/>
    <cellStyle name="Comma 68" xfId="4156"/>
    <cellStyle name="Comma 68 2" xfId="4468"/>
    <cellStyle name="Comma 68 2 2" xfId="4802"/>
    <cellStyle name="Comma 68 3" xfId="4803"/>
    <cellStyle name="Comma 69" xfId="4157"/>
    <cellStyle name="Comma 69 2" xfId="4469"/>
    <cellStyle name="Comma 69 2 2" xfId="4804"/>
    <cellStyle name="Comma 69 3" xfId="4805"/>
    <cellStyle name="Comma 7" xfId="399"/>
    <cellStyle name="Comma 7 2" xfId="676"/>
    <cellStyle name="Comma 7 2 2" xfId="4806"/>
    <cellStyle name="Comma 7 3" xfId="1068"/>
    <cellStyle name="Comma 7 3 2" xfId="4279"/>
    <cellStyle name="Comma 7 3 2 2" xfId="4807"/>
    <cellStyle name="Comma 7 3 3" xfId="4808"/>
    <cellStyle name="Comma 7 3 4" xfId="4971"/>
    <cellStyle name="Comma 7 4" xfId="983"/>
    <cellStyle name="Comma 7 4 2" xfId="4809"/>
    <cellStyle name="Comma 7 4 3" xfId="4963"/>
    <cellStyle name="Comma 7 5" xfId="1251"/>
    <cellStyle name="Comma 7 5 2" xfId="4810"/>
    <cellStyle name="Comma 7 5 3" xfId="4982"/>
    <cellStyle name="Comma 7 6" xfId="1141"/>
    <cellStyle name="Comma 7 6 2" xfId="4811"/>
    <cellStyle name="Comma 7 6 3" xfId="4975"/>
    <cellStyle name="Comma 7 7" xfId="2670"/>
    <cellStyle name="Comma 7 7 2" xfId="6122"/>
    <cellStyle name="Comma 7 8" xfId="4940"/>
    <cellStyle name="Comma 70" xfId="4158"/>
    <cellStyle name="Comma 70 2" xfId="4470"/>
    <cellStyle name="Comma 70 2 2" xfId="4812"/>
    <cellStyle name="Comma 70 3" xfId="4813"/>
    <cellStyle name="Comma 71" xfId="4159"/>
    <cellStyle name="Comma 71 2" xfId="4471"/>
    <cellStyle name="Comma 71 2 2" xfId="4814"/>
    <cellStyle name="Comma 71 3" xfId="4815"/>
    <cellStyle name="Comma 72" xfId="4160"/>
    <cellStyle name="Comma 72 2" xfId="4472"/>
    <cellStyle name="Comma 72 2 2" xfId="4816"/>
    <cellStyle name="Comma 72 3" xfId="4817"/>
    <cellStyle name="Comma 73" xfId="4161"/>
    <cellStyle name="Comma 73 2" xfId="4473"/>
    <cellStyle name="Comma 73 2 2" xfId="4818"/>
    <cellStyle name="Comma 73 3" xfId="4819"/>
    <cellStyle name="Comma 74" xfId="4162"/>
    <cellStyle name="Comma 74 2" xfId="4820"/>
    <cellStyle name="Comma 75" xfId="4163"/>
    <cellStyle name="Comma 75 2" xfId="4821"/>
    <cellStyle name="Comma 76" xfId="4164"/>
    <cellStyle name="Comma 76 2" xfId="4474"/>
    <cellStyle name="Comma 76 2 2" xfId="4822"/>
    <cellStyle name="Comma 76 3" xfId="4823"/>
    <cellStyle name="Comma 77" xfId="4165"/>
    <cellStyle name="Comma 77 2" xfId="4475"/>
    <cellStyle name="Comma 77 2 2" xfId="4824"/>
    <cellStyle name="Comma 77 3" xfId="4825"/>
    <cellStyle name="Comma 78" xfId="4166"/>
    <cellStyle name="Comma 78 2" xfId="4476"/>
    <cellStyle name="Comma 78 2 2" xfId="4826"/>
    <cellStyle name="Comma 78 3" xfId="4827"/>
    <cellStyle name="Comma 79" xfId="4167"/>
    <cellStyle name="Comma 79 2" xfId="4828"/>
    <cellStyle name="Comma 8" xfId="400"/>
    <cellStyle name="Comma 8 2" xfId="677"/>
    <cellStyle name="Comma 8 2 2" xfId="4829"/>
    <cellStyle name="Comma 8 3" xfId="1069"/>
    <cellStyle name="Comma 8 3 2" xfId="4280"/>
    <cellStyle name="Comma 8 3 2 2" xfId="4830"/>
    <cellStyle name="Comma 8 3 3" xfId="4831"/>
    <cellStyle name="Comma 8 3 4" xfId="4972"/>
    <cellStyle name="Comma 8 4" xfId="984"/>
    <cellStyle name="Comma 8 4 2" xfId="4832"/>
    <cellStyle name="Comma 8 4 3" xfId="4964"/>
    <cellStyle name="Comma 8 5" xfId="1252"/>
    <cellStyle name="Comma 8 5 2" xfId="4833"/>
    <cellStyle name="Comma 8 5 3" xfId="4983"/>
    <cellStyle name="Comma 8 6" xfId="1434"/>
    <cellStyle name="Comma 8 6 2" xfId="4834"/>
    <cellStyle name="Comma 8 6 3" xfId="4991"/>
    <cellStyle name="Comma 8 7" xfId="2671"/>
    <cellStyle name="Comma 8 7 2" xfId="6123"/>
    <cellStyle name="Comma 8 8" xfId="4941"/>
    <cellStyle name="Comma 80" xfId="4168"/>
    <cellStyle name="Comma 80 2" xfId="4835"/>
    <cellStyle name="Comma 81" xfId="4169"/>
    <cellStyle name="Comma 81 2" xfId="4836"/>
    <cellStyle name="Comma 82" xfId="4170"/>
    <cellStyle name="Comma 82 2" xfId="4837"/>
    <cellStyle name="Comma 83" xfId="4171"/>
    <cellStyle name="Comma 83 2" xfId="4838"/>
    <cellStyle name="Comma 84" xfId="4172"/>
    <cellStyle name="Comma 84 2" xfId="4477"/>
    <cellStyle name="Comma 84 2 2" xfId="4839"/>
    <cellStyle name="Comma 84 3" xfId="4840"/>
    <cellStyle name="Comma 85" xfId="4173"/>
    <cellStyle name="Comma 85 2" xfId="4841"/>
    <cellStyle name="Comma 86" xfId="4174"/>
    <cellStyle name="Comma 86 2" xfId="4478"/>
    <cellStyle name="Comma 86 2 2" xfId="4842"/>
    <cellStyle name="Comma 86 3" xfId="4843"/>
    <cellStyle name="Comma 87" xfId="4175"/>
    <cellStyle name="Comma 87 2" xfId="4479"/>
    <cellStyle name="Comma 87 2 2" xfId="4844"/>
    <cellStyle name="Comma 87 3" xfId="4845"/>
    <cellStyle name="Comma 88" xfId="4310"/>
    <cellStyle name="Comma 88 2" xfId="4846"/>
    <cellStyle name="Comma 89" xfId="4311"/>
    <cellStyle name="Comma 89 2" xfId="4847"/>
    <cellStyle name="Comma 9" xfId="401"/>
    <cellStyle name="Comma 9 2" xfId="678"/>
    <cellStyle name="Comma 9 2 2" xfId="4848"/>
    <cellStyle name="Comma 9 3" xfId="1070"/>
    <cellStyle name="Comma 9 3 2" xfId="4281"/>
    <cellStyle name="Comma 9 3 2 2" xfId="4849"/>
    <cellStyle name="Comma 9 3 3" xfId="4850"/>
    <cellStyle name="Comma 9 3 4" xfId="4973"/>
    <cellStyle name="Comma 9 4" xfId="985"/>
    <cellStyle name="Comma 9 4 2" xfId="4851"/>
    <cellStyle name="Comma 9 4 3" xfId="4965"/>
    <cellStyle name="Comma 9 5" xfId="1253"/>
    <cellStyle name="Comma 9 5 2" xfId="4852"/>
    <cellStyle name="Comma 9 5 3" xfId="4984"/>
    <cellStyle name="Comma 9 6" xfId="1423"/>
    <cellStyle name="Comma 9 6 2" xfId="4989"/>
    <cellStyle name="Comma 9 7" xfId="2672"/>
    <cellStyle name="Comma 9 7 2" xfId="6124"/>
    <cellStyle name="Comma 9 8" xfId="4942"/>
    <cellStyle name="Comma 90" xfId="4312"/>
    <cellStyle name="Comma 90 2" xfId="4853"/>
    <cellStyle name="Comma 91" xfId="4313"/>
    <cellStyle name="Comma 91 2" xfId="4854"/>
    <cellStyle name="Comma 92" xfId="4314"/>
    <cellStyle name="Comma 92 2" xfId="4855"/>
    <cellStyle name="Comma 93" xfId="4315"/>
    <cellStyle name="Comma 93 2" xfId="4856"/>
    <cellStyle name="Comma 94" xfId="4316"/>
    <cellStyle name="Comma 94 2" xfId="4857"/>
    <cellStyle name="Comma 95" xfId="4317"/>
    <cellStyle name="Comma 95 2" xfId="4858"/>
    <cellStyle name="Comma 96" xfId="4318"/>
    <cellStyle name="Comma 96 2" xfId="4859"/>
    <cellStyle name="Comma 97" xfId="4319"/>
    <cellStyle name="Comma 97 2" xfId="4860"/>
    <cellStyle name="Comma 98" xfId="4320"/>
    <cellStyle name="Comma 98 2" xfId="4861"/>
    <cellStyle name="Comma 99" xfId="4321"/>
    <cellStyle name="Comma 99 2" xfId="4862"/>
    <cellStyle name="Comma ă0î" xfId="402"/>
    <cellStyle name="Comma ã0î" xfId="403"/>
    <cellStyle name="Comma ă0î 10" xfId="1124"/>
    <cellStyle name="Comma ă0î 100" xfId="4931"/>
    <cellStyle name="Comma ă0î 101" xfId="4929"/>
    <cellStyle name="Comma ă0î 102" xfId="4943"/>
    <cellStyle name="Comma ă0î 103" xfId="4944"/>
    <cellStyle name="Comma ă0î 104" xfId="4957"/>
    <cellStyle name="Comma ă0î 105" xfId="7108"/>
    <cellStyle name="Comma ă0î 106" xfId="7115"/>
    <cellStyle name="Comma ă0î 107" xfId="7110"/>
    <cellStyle name="Comma ă0î 108" xfId="7107"/>
    <cellStyle name="Comma ă0î 109" xfId="7114"/>
    <cellStyle name="Comma ă0î 11" xfId="986"/>
    <cellStyle name="Comma ă0î 110" xfId="7104"/>
    <cellStyle name="Comma ă0î 111" xfId="7109"/>
    <cellStyle name="Comma ă0î 112" xfId="4986"/>
    <cellStyle name="Comma ă0î 113" xfId="7112"/>
    <cellStyle name="Comma ă0î 114" xfId="7103"/>
    <cellStyle name="Comma ă0î 115" xfId="7101"/>
    <cellStyle name="Comma ă0î 116" xfId="4985"/>
    <cellStyle name="Comma ă0î 117" xfId="7111"/>
    <cellStyle name="Comma ă0î 118" xfId="7106"/>
    <cellStyle name="Comma ă0î 119" xfId="7113"/>
    <cellStyle name="Comma ă0î 12" xfId="1040"/>
    <cellStyle name="Comma ă0î 120" xfId="7100"/>
    <cellStyle name="Comma ă0î 121" xfId="7102"/>
    <cellStyle name="Comma ă0î 122" xfId="7105"/>
    <cellStyle name="Comma ă0î 123" xfId="7116"/>
    <cellStyle name="Comma ă0î 124" xfId="7119"/>
    <cellStyle name="Comma ă0î 125" xfId="7120"/>
    <cellStyle name="Comma ă0î 126" xfId="7118"/>
    <cellStyle name="Comma ă0î 127" xfId="7117"/>
    <cellStyle name="Comma ă0î 13" xfId="1137"/>
    <cellStyle name="Comma ă0î 14" xfId="1254"/>
    <cellStyle name="Comma ă0î 15" xfId="1309"/>
    <cellStyle name="Comma ă0î 16" xfId="1359"/>
    <cellStyle name="Comma ă0î 17" xfId="1308"/>
    <cellStyle name="Comma ă0î 18" xfId="1362"/>
    <cellStyle name="Comma ă0î 19" xfId="1385"/>
    <cellStyle name="Comma ă0î 2" xfId="1071"/>
    <cellStyle name="Comma ã0î 2" xfId="4069"/>
    <cellStyle name="Comma ă0î 20" xfId="1378"/>
    <cellStyle name="Comma ă0î 21" xfId="1380"/>
    <cellStyle name="Comma ă0î 22" xfId="1384"/>
    <cellStyle name="Comma ă0î 23" xfId="1147"/>
    <cellStyle name="Comma ă0î 24" xfId="1222"/>
    <cellStyle name="Comma ă0î 25" xfId="1316"/>
    <cellStyle name="Comma ă0î 26" xfId="1154"/>
    <cellStyle name="Comma ă0î 27" xfId="1441"/>
    <cellStyle name="Comma ă0î 28" xfId="1195"/>
    <cellStyle name="Comma ă0î 29" xfId="1155"/>
    <cellStyle name="Comma ă0î 3" xfId="1133"/>
    <cellStyle name="Comma ã0î 3" xfId="4863"/>
    <cellStyle name="Comma ă0î 30" xfId="1210"/>
    <cellStyle name="Comma ă0î 31" xfId="1444"/>
    <cellStyle name="Comma ă0î 32" xfId="1454"/>
    <cellStyle name="Comma ă0î 33" xfId="1336"/>
    <cellStyle name="Comma ă0î 34" xfId="1436"/>
    <cellStyle name="Comma ă0î 35" xfId="1333"/>
    <cellStyle name="Comma ă0î 36" xfId="1437"/>
    <cellStyle name="Comma ă0î 37" xfId="1459"/>
    <cellStyle name="Comma ă0î 38" xfId="1427"/>
    <cellStyle name="Comma ă0î 39" xfId="1457"/>
    <cellStyle name="Comma ă0î 4" xfId="1135"/>
    <cellStyle name="Comma ã0î 4" xfId="4864"/>
    <cellStyle name="Comma ă0î 40" xfId="1448"/>
    <cellStyle name="Comma ă0î 41" xfId="1149"/>
    <cellStyle name="Comma ă0î 42" xfId="1146"/>
    <cellStyle name="Comma ă0î 43" xfId="1198"/>
    <cellStyle name="Comma ă0î 44" xfId="1432"/>
    <cellStyle name="Comma ă0î 45" xfId="1207"/>
    <cellStyle name="Comma ă0î 46" xfId="1181"/>
    <cellStyle name="Comma ă0î 47" xfId="1429"/>
    <cellStyle name="Comma ă0î 48" xfId="1461"/>
    <cellStyle name="Comma ă0î 49" xfId="1449"/>
    <cellStyle name="Comma ă0î 5" xfId="1106"/>
    <cellStyle name="Comma ã0î 5" xfId="4865"/>
    <cellStyle name="Comma ă0î 50" xfId="2056"/>
    <cellStyle name="Comma ă0î 51" xfId="2073"/>
    <cellStyle name="Comma ă0î 52" xfId="2090"/>
    <cellStyle name="Comma ă0î 53" xfId="2331"/>
    <cellStyle name="Comma ă0î 54" xfId="2348"/>
    <cellStyle name="Comma ă0î 55" xfId="2404"/>
    <cellStyle name="Comma ă0î 56" xfId="1888"/>
    <cellStyle name="Comma ă0î 57" xfId="1904"/>
    <cellStyle name="Comma ă0î 58" xfId="1610"/>
    <cellStyle name="Comma ă0î 59" xfId="1629"/>
    <cellStyle name="Comma ă0î 6" xfId="1109"/>
    <cellStyle name="Comma ă0î 60" xfId="1609"/>
    <cellStyle name="Comma ă0î 61" xfId="2606"/>
    <cellStyle name="Comma ă0î 62" xfId="1611"/>
    <cellStyle name="Comma ă0î 63" xfId="2610"/>
    <cellStyle name="Comma ă0î 64" xfId="2611"/>
    <cellStyle name="Comma ă0î 65" xfId="1568"/>
    <cellStyle name="Comma ă0î 66" xfId="1587"/>
    <cellStyle name="Comma ă0î 67" xfId="1584"/>
    <cellStyle name="Comma ă0î 68" xfId="1585"/>
    <cellStyle name="Comma ă0î 69" xfId="2613"/>
    <cellStyle name="Comma ă0î 7" xfId="1136"/>
    <cellStyle name="Comma ă0î 70" xfId="2615"/>
    <cellStyle name="Comma ă0î 71" xfId="2614"/>
    <cellStyle name="Comma ă0î 72" xfId="2617"/>
    <cellStyle name="Comma ă0î 73" xfId="1574"/>
    <cellStyle name="Comma ă0î 74" xfId="2619"/>
    <cellStyle name="Comma ă0î 75" xfId="2639"/>
    <cellStyle name="Comma ă0î 76" xfId="2742"/>
    <cellStyle name="Comma ă0î 77" xfId="2799"/>
    <cellStyle name="Comma ă0î 78" xfId="2756"/>
    <cellStyle name="Comma ă0î 79" xfId="2621"/>
    <cellStyle name="Comma ă0î 8" xfId="1130"/>
    <cellStyle name="Comma ă0î 80" xfId="2637"/>
    <cellStyle name="Comma ă0î 81" xfId="2640"/>
    <cellStyle name="Comma ă0î 82" xfId="2636"/>
    <cellStyle name="Comma ă0î 83" xfId="3693"/>
    <cellStyle name="Comma ă0î 84" xfId="3699"/>
    <cellStyle name="Comma ă0î 85" xfId="3696"/>
    <cellStyle name="Comma ă0î 86" xfId="2740"/>
    <cellStyle name="Comma ă0î 87" xfId="3701"/>
    <cellStyle name="Comma ă0î 88" xfId="3895"/>
    <cellStyle name="Comma ă0î 89" xfId="3982"/>
    <cellStyle name="Comma ă0î 9" xfId="1125"/>
    <cellStyle name="Comma ă0î 90" xfId="4927"/>
    <cellStyle name="Comma ă0î 91" xfId="4934"/>
    <cellStyle name="Comma ă0î 92" xfId="3915"/>
    <cellStyle name="Comma ă0î 93" xfId="3983"/>
    <cellStyle name="Comma ă0î 94" xfId="4928"/>
    <cellStyle name="Comma ă0î 95" xfId="4933"/>
    <cellStyle name="Comma ă0î 96" xfId="3908"/>
    <cellStyle name="Comma ă0î 97" xfId="3958"/>
    <cellStyle name="Comma ă0î 98" xfId="4930"/>
    <cellStyle name="Comma ă0î 99" xfId="4932"/>
    <cellStyle name="Comma ă0î_ICO Sales AR_PETROM martie 2011" xfId="404"/>
    <cellStyle name="Comma Black [0]" xfId="32"/>
    <cellStyle name="Comma Black [0] 2" xfId="3896"/>
    <cellStyle name="Comma Black [1]" xfId="33"/>
    <cellStyle name="Comma Black [2]" xfId="34"/>
    <cellStyle name="Comma Black [2] 2" xfId="3897"/>
    <cellStyle name="Comma Blue [0]" xfId="35"/>
    <cellStyle name="Comma Blue [0] 2" xfId="3898"/>
    <cellStyle name="Comma Blue [1]" xfId="36"/>
    <cellStyle name="Comma Blue [2]" xfId="37"/>
    <cellStyle name="Comma Blue [2] 2" xfId="3899"/>
    <cellStyle name="Comma_OMV emergency edit" xfId="234"/>
    <cellStyle name="Comment" xfId="38"/>
    <cellStyle name="Comment 2" xfId="405"/>
    <cellStyle name="Comment 2 2" xfId="1072"/>
    <cellStyle name="Comment 2 3" xfId="987"/>
    <cellStyle name="Comment 2 4" xfId="1255"/>
    <cellStyle name="Comment 2 5" xfId="1211"/>
    <cellStyle name="Comment 2 6" xfId="2673"/>
    <cellStyle name="ContentsHyperlink" xfId="406"/>
    <cellStyle name="Copied" xfId="841"/>
    <cellStyle name="COST1" xfId="842"/>
    <cellStyle name="Currency [00]" xfId="843"/>
    <cellStyle name="Currency 2" xfId="844"/>
    <cellStyle name="Date" xfId="39"/>
    <cellStyle name="Date Short" xfId="845"/>
    <cellStyle name="E" xfId="40"/>
    <cellStyle name="Eingabe 2" xfId="197"/>
    <cellStyle name="Eingabe 2 2" xfId="3906"/>
    <cellStyle name="Emphasis 1" xfId="846"/>
    <cellStyle name="Emphasis 2" xfId="847"/>
    <cellStyle name="Emphasis 3" xfId="848"/>
    <cellStyle name="Enter Currency (0)" xfId="849"/>
    <cellStyle name="Enter Currency (2)" xfId="850"/>
    <cellStyle name="Enter Units (0)" xfId="851"/>
    <cellStyle name="Enter Units (1)" xfId="852"/>
    <cellStyle name="Enter Units (2)" xfId="853"/>
    <cellStyle name="Ergebnis 2" xfId="198"/>
    <cellStyle name="Ergebnis 2 2" xfId="7141"/>
    <cellStyle name="Erklärender Text 2" xfId="199"/>
    <cellStyle name="Erklärender Text 2 2" xfId="3900"/>
    <cellStyle name="Euro" xfId="407"/>
    <cellStyle name="Euro 2" xfId="679"/>
    <cellStyle name="Euro 3" xfId="4480"/>
    <cellStyle name="Explanatory Text" xfId="200"/>
    <cellStyle name="Explanatory Text 2" xfId="408"/>
    <cellStyle name="Explanatory Text 2 2" xfId="680"/>
    <cellStyle name="Explanatory Text 2 2 2" xfId="4070"/>
    <cellStyle name="Explanatory Text 2 3" xfId="4071"/>
    <cellStyle name="Explanatory Text 2 4" xfId="4481"/>
    <cellStyle name="Explanatory Text 2 5" xfId="3941"/>
    <cellStyle name="Explanatory Text 3" xfId="681"/>
    <cellStyle name="Explanatory Text 4" xfId="682"/>
    <cellStyle name="Explanatory Text 5" xfId="506"/>
    <cellStyle name="FieldName" xfId="41"/>
    <cellStyle name="FieldName 2" xfId="409"/>
    <cellStyle name="FieldName 2 2" xfId="1073"/>
    <cellStyle name="FieldName 2 3" xfId="988"/>
    <cellStyle name="FieldName 2 4" xfId="1256"/>
    <cellStyle name="FieldName 2 5" xfId="1339"/>
    <cellStyle name="FieldName 2 6" xfId="2674"/>
    <cellStyle name="Fixed" xfId="42"/>
    <cellStyle name="Fixed 2" xfId="410"/>
    <cellStyle name="Fixed 2 2" xfId="1074"/>
    <cellStyle name="Fixed 2 3" xfId="989"/>
    <cellStyle name="Fixed 2 4" xfId="1257"/>
    <cellStyle name="Fixed 2 5" xfId="1420"/>
    <cellStyle name="Fixed 2 6" xfId="2675"/>
    <cellStyle name="Fixed 2 7" xfId="3964"/>
    <cellStyle name="GB" xfId="43"/>
    <cellStyle name="GB 2" xfId="411"/>
    <cellStyle name="Good" xfId="201"/>
    <cellStyle name="Good 2" xfId="412"/>
    <cellStyle name="Good 2 2" xfId="683"/>
    <cellStyle name="Good 2 2 2" xfId="4072"/>
    <cellStyle name="Good 2 3" xfId="4073"/>
    <cellStyle name="Good 2 4" xfId="4482"/>
    <cellStyle name="Good 2 5" xfId="3942"/>
    <cellStyle name="Good 3" xfId="684"/>
    <cellStyle name="Good 4" xfId="685"/>
    <cellStyle name="Good 5" xfId="497"/>
    <cellStyle name="Grey" xfId="44"/>
    <cellStyle name="Grey 2" xfId="413"/>
    <cellStyle name="Gridless" xfId="45"/>
    <cellStyle name="Gut 2" xfId="202"/>
    <cellStyle name="Gut 2 2" xfId="3901"/>
    <cellStyle name="head" xfId="46"/>
    <cellStyle name="head 2" xfId="414"/>
    <cellStyle name="Head above highlight" xfId="7143"/>
    <cellStyle name="Head text" xfId="7144"/>
    <cellStyle name="Head text highlight" xfId="7145"/>
    <cellStyle name="Head Title" xfId="7146"/>
    <cellStyle name="Head Unit" xfId="7147"/>
    <cellStyle name="HEADER" xfId="47"/>
    <cellStyle name="Header1" xfId="854"/>
    <cellStyle name="Header2" xfId="855"/>
    <cellStyle name="Heading" xfId="48"/>
    <cellStyle name="Heading 1" xfId="203"/>
    <cellStyle name="Heading 1 2" xfId="415"/>
    <cellStyle name="Heading 1 2 2" xfId="686"/>
    <cellStyle name="Heading 1 2 2 2" xfId="4074"/>
    <cellStyle name="Heading 1 2 3" xfId="4075"/>
    <cellStyle name="Heading 1 2 4" xfId="4483"/>
    <cellStyle name="Heading 1 2 5" xfId="3943"/>
    <cellStyle name="Heading 1 3" xfId="687"/>
    <cellStyle name="Heading 1 4" xfId="688"/>
    <cellStyle name="Heading 1 5" xfId="493"/>
    <cellStyle name="Heading 2" xfId="204"/>
    <cellStyle name="Heading 2 2" xfId="416"/>
    <cellStyle name="Heading 2 2 2" xfId="689"/>
    <cellStyle name="Heading 2 2 2 2" xfId="4076"/>
    <cellStyle name="Heading 2 2 3" xfId="4077"/>
    <cellStyle name="Heading 2 2 4" xfId="4484"/>
    <cellStyle name="Heading 2 2 5" xfId="3944"/>
    <cellStyle name="Heading 2 3" xfId="690"/>
    <cellStyle name="Heading 2 4" xfId="691"/>
    <cellStyle name="Heading 2 5" xfId="494"/>
    <cellStyle name="Heading 3" xfId="205"/>
    <cellStyle name="Heading 3 2" xfId="417"/>
    <cellStyle name="Heading 3 2 2" xfId="692"/>
    <cellStyle name="Heading 3 2 2 2" xfId="4078"/>
    <cellStyle name="Heading 3 2 3" xfId="4079"/>
    <cellStyle name="Heading 3 2 4" xfId="4485"/>
    <cellStyle name="Heading 3 2 5" xfId="3945"/>
    <cellStyle name="Heading 3 3" xfId="693"/>
    <cellStyle name="Heading 3 4" xfId="694"/>
    <cellStyle name="Heading 3 5" xfId="495"/>
    <cellStyle name="Heading 4" xfId="206"/>
    <cellStyle name="Heading 4 2" xfId="418"/>
    <cellStyle name="Heading 4 2 2" xfId="695"/>
    <cellStyle name="Heading 4 2 2 2" xfId="4080"/>
    <cellStyle name="Heading 4 2 3" xfId="4081"/>
    <cellStyle name="Heading 4 2 4" xfId="4486"/>
    <cellStyle name="Heading 4 2 5" xfId="3946"/>
    <cellStyle name="Heading 4 3" xfId="696"/>
    <cellStyle name="Heading 4 4" xfId="697"/>
    <cellStyle name="Heading 4 5" xfId="496"/>
    <cellStyle name="Heading1" xfId="49"/>
    <cellStyle name="Heading1 2" xfId="419"/>
    <cellStyle name="Heading1 2 2" xfId="1075"/>
    <cellStyle name="Heading1 2 3" xfId="990"/>
    <cellStyle name="Heading1 2 4" xfId="1258"/>
    <cellStyle name="Heading1 2 5" xfId="1189"/>
    <cellStyle name="Heading1 2 6" xfId="2676"/>
    <cellStyle name="Heading1 2 7" xfId="3965"/>
    <cellStyle name="Heading2" xfId="50"/>
    <cellStyle name="Heading2 2" xfId="420"/>
    <cellStyle name="Heading2 2 2" xfId="1076"/>
    <cellStyle name="Heading2 2 3" xfId="991"/>
    <cellStyle name="Heading2 2 4" xfId="1259"/>
    <cellStyle name="Heading2 2 5" xfId="1164"/>
    <cellStyle name="Heading2 2 6" xfId="2677"/>
    <cellStyle name="Heading2 2 7" xfId="3966"/>
    <cellStyle name="HIGHLIGHT" xfId="51"/>
    <cellStyle name="Hyperlink" xfId="1" builtinId="8"/>
    <cellStyle name="Hyperlink 2" xfId="252"/>
    <cellStyle name="Hyperlink 2 2" xfId="698"/>
    <cellStyle name="Hyperlink 3" xfId="699"/>
    <cellStyle name="Hyperlink 3 2" xfId="4082"/>
    <cellStyle name="Input" xfId="207"/>
    <cellStyle name="Input [yellow]" xfId="52"/>
    <cellStyle name="Input [yellow] 2" xfId="421"/>
    <cellStyle name="Input 10" xfId="500"/>
    <cellStyle name="Input 11" xfId="7124"/>
    <cellStyle name="Input 2" xfId="422"/>
    <cellStyle name="Input 2 2" xfId="700"/>
    <cellStyle name="Input 2 2 2" xfId="4083"/>
    <cellStyle name="Input 2 3" xfId="4084"/>
    <cellStyle name="Input 2 4" xfId="4487"/>
    <cellStyle name="Input 2 5" xfId="3947"/>
    <cellStyle name="Input 3" xfId="423"/>
    <cellStyle name="Input 4" xfId="424"/>
    <cellStyle name="Input 4 2" xfId="3948"/>
    <cellStyle name="Input 5" xfId="425"/>
    <cellStyle name="Input 6" xfId="426"/>
    <cellStyle name="Input 7" xfId="427"/>
    <cellStyle name="Input 8" xfId="428"/>
    <cellStyle name="Input 9" xfId="429"/>
    <cellStyle name="Input Number" xfId="53"/>
    <cellStyle name="Komma 2" xfId="31"/>
    <cellStyle name="Komma 2 2" xfId="283"/>
    <cellStyle name="Komma 2 2 2" xfId="309"/>
    <cellStyle name="Komma 2 2 3" xfId="296"/>
    <cellStyle name="Komma 2 3" xfId="289"/>
    <cellStyle name="Komma 2 3 2" xfId="316"/>
    <cellStyle name="Komma 2 3 3" xfId="303"/>
    <cellStyle name="Komma 2 4" xfId="291"/>
    <cellStyle name="Komma 2 4 2" xfId="318"/>
    <cellStyle name="Komma 2 4 3" xfId="305"/>
    <cellStyle name="Komma 2 5" xfId="307"/>
    <cellStyle name="Komma 2 6" xfId="294"/>
    <cellStyle name="Komma 2 7" xfId="3894"/>
    <cellStyle name="Komma 2 8" xfId="7139"/>
    <cellStyle name="Komma 2 8 2" xfId="7158"/>
    <cellStyle name="Komma 2 9" xfId="280"/>
    <cellStyle name="Komma 3" xfId="250"/>
    <cellStyle name="Komma 4" xfId="254"/>
    <cellStyle name="Komma 5" xfId="272"/>
    <cellStyle name="Komma 6" xfId="281"/>
    <cellStyle name="Kopf einzelne" xfId="2"/>
    <cellStyle name="Kopf erste" xfId="3"/>
    <cellStyle name="Kopf letzte" xfId="4"/>
    <cellStyle name="Kopf mittlere" xfId="5"/>
    <cellStyle name="Kristopher's model" xfId="54"/>
    <cellStyle name="Letzte Zelle" xfId="6"/>
    <cellStyle name="Link Currency (0)" xfId="856"/>
    <cellStyle name="Link Currency (2)" xfId="857"/>
    <cellStyle name="Link Units (0)" xfId="858"/>
    <cellStyle name="Link Units (1)" xfId="859"/>
    <cellStyle name="Link Units (2)" xfId="860"/>
    <cellStyle name="Linked Cell" xfId="208"/>
    <cellStyle name="Linked Cell 2" xfId="430"/>
    <cellStyle name="Linked Cell 2 2" xfId="701"/>
    <cellStyle name="Linked Cell 2 2 2" xfId="4085"/>
    <cellStyle name="Linked Cell 2 3" xfId="4086"/>
    <cellStyle name="Linked Cell 2 4" xfId="4488"/>
    <cellStyle name="Linked Cell 2 5" xfId="3949"/>
    <cellStyle name="Linked Cell 3" xfId="702"/>
    <cellStyle name="Linked Cell 4" xfId="703"/>
    <cellStyle name="Linked Cell 5" xfId="503"/>
    <cellStyle name="MonthYears" xfId="55"/>
    <cellStyle name="MonthYears 2" xfId="431"/>
    <cellStyle name="Multiple Black [0]" xfId="56"/>
    <cellStyle name="Multiple Black [0] 2" xfId="238"/>
    <cellStyle name="Multiple Black [0] 2 2" xfId="1077"/>
    <cellStyle name="Multiple Black [0] 2 3" xfId="993"/>
    <cellStyle name="Multiple Black [0] 2 4" xfId="1261"/>
    <cellStyle name="Multiple Black [0] 2 5" xfId="1144"/>
    <cellStyle name="Multiple Black [0] 2 6" xfId="2678"/>
    <cellStyle name="Multiple Black [0] 2 7" xfId="3967"/>
    <cellStyle name="Multiple Black [0] 2 8" xfId="433"/>
    <cellStyle name="Multiple Black [0] 3" xfId="432"/>
    <cellStyle name="Multiple Black [1]" xfId="57"/>
    <cellStyle name="Multiple Black [1] 2" xfId="239"/>
    <cellStyle name="Multiple Black [1] 2 2" xfId="1078"/>
    <cellStyle name="Multiple Black [1] 2 3" xfId="994"/>
    <cellStyle name="Multiple Black [1] 2 4" xfId="1262"/>
    <cellStyle name="Multiple Black [1] 2 5" xfId="1335"/>
    <cellStyle name="Multiple Black [1] 2 6" xfId="2679"/>
    <cellStyle name="Multiple Black [1] 2 7" xfId="3968"/>
    <cellStyle name="Multiple Black [1] 2 8" xfId="435"/>
    <cellStyle name="Multiple Black [1] 3" xfId="434"/>
    <cellStyle name="Multiple Black [2]" xfId="58"/>
    <cellStyle name="Multiple Black [2] 2" xfId="240"/>
    <cellStyle name="Multiple Black [2] 2 2" xfId="1079"/>
    <cellStyle name="Multiple Black [2] 2 3" xfId="995"/>
    <cellStyle name="Multiple Black [2] 2 4" xfId="1263"/>
    <cellStyle name="Multiple Black [2] 2 5" xfId="1188"/>
    <cellStyle name="Multiple Black [2] 2 6" xfId="2680"/>
    <cellStyle name="Multiple Black [2] 2 7" xfId="3969"/>
    <cellStyle name="Multiple Black [2] 2 8" xfId="437"/>
    <cellStyle name="Multiple Black [2] 3" xfId="436"/>
    <cellStyle name="Multiple Blue [0]" xfId="59"/>
    <cellStyle name="Multiple Blue [0] 2" xfId="241"/>
    <cellStyle name="Multiple Blue [0] 2 2" xfId="1080"/>
    <cellStyle name="Multiple Blue [0] 2 3" xfId="996"/>
    <cellStyle name="Multiple Blue [0] 2 4" xfId="1264"/>
    <cellStyle name="Multiple Blue [0] 2 5" xfId="1340"/>
    <cellStyle name="Multiple Blue [0] 2 6" xfId="2681"/>
    <cellStyle name="Multiple Blue [0] 2 7" xfId="3970"/>
    <cellStyle name="Multiple Blue [0] 2 8" xfId="439"/>
    <cellStyle name="Multiple Blue [0] 3" xfId="438"/>
    <cellStyle name="Multiple Blue [1]" xfId="60"/>
    <cellStyle name="Multiple Blue [1] 2" xfId="242"/>
    <cellStyle name="Multiple Blue [1] 2 2" xfId="1081"/>
    <cellStyle name="Multiple Blue [1] 2 3" xfId="997"/>
    <cellStyle name="Multiple Blue [1] 2 4" xfId="1265"/>
    <cellStyle name="Multiple Blue [1] 2 5" xfId="1213"/>
    <cellStyle name="Multiple Blue [1] 2 6" xfId="2682"/>
    <cellStyle name="Multiple Blue [1] 2 7" xfId="3971"/>
    <cellStyle name="Multiple Blue [1] 2 8" xfId="441"/>
    <cellStyle name="Multiple Blue [1] 3" xfId="440"/>
    <cellStyle name="Multiple Blue [2]" xfId="61"/>
    <cellStyle name="Multiple Blue [2] 2" xfId="243"/>
    <cellStyle name="Multiple Blue [2] 2 2" xfId="1082"/>
    <cellStyle name="Multiple Blue [2] 2 3" xfId="998"/>
    <cellStyle name="Multiple Blue [2] 2 4" xfId="1266"/>
    <cellStyle name="Multiple Blue [2] 2 5" xfId="1160"/>
    <cellStyle name="Multiple Blue [2] 2 6" xfId="2683"/>
    <cellStyle name="Multiple Blue [2] 2 7" xfId="3972"/>
    <cellStyle name="Multiple Blue [2] 2 8" xfId="443"/>
    <cellStyle name="Multiple Blue [2] 3" xfId="442"/>
    <cellStyle name="N" xfId="62"/>
    <cellStyle name="Neutral 2" xfId="444"/>
    <cellStyle name="Neutral 2 2" xfId="704"/>
    <cellStyle name="Neutral 2 2 2" xfId="4087"/>
    <cellStyle name="Neutral 2 3" xfId="4088"/>
    <cellStyle name="Neutral 2 4" xfId="4489"/>
    <cellStyle name="Neutral 2 5" xfId="3950"/>
    <cellStyle name="Neutral 3" xfId="705"/>
    <cellStyle name="Neutral 4" xfId="706"/>
    <cellStyle name="Neutral 5" xfId="499"/>
    <cellStyle name="no dec" xfId="63"/>
    <cellStyle name="no dec 2" xfId="445"/>
    <cellStyle name="no dec 2 2" xfId="1083"/>
    <cellStyle name="no dec 2 3" xfId="999"/>
    <cellStyle name="no dec 2 4" xfId="1267"/>
    <cellStyle name="no dec 2 5" xfId="1150"/>
    <cellStyle name="no dec 2 6" xfId="2684"/>
    <cellStyle name="No line" xfId="7148"/>
    <cellStyle name="Normal" xfId="0" builtinId="0" customBuiltin="1"/>
    <cellStyle name="Normal - Style1" xfId="64"/>
    <cellStyle name="Normal - Style1 2" xfId="861"/>
    <cellStyle name="Normal 10" xfId="707"/>
    <cellStyle name="Normal 10 2" xfId="862"/>
    <cellStyle name="Normal 10 3" xfId="4176"/>
    <cellStyle name="Normal 10 3 2" xfId="4282"/>
    <cellStyle name="Normal 10 3 2 2" xfId="4490"/>
    <cellStyle name="Normal 10 3 2 2 2" xfId="4866"/>
    <cellStyle name="Normal 10 3 2 3" xfId="4867"/>
    <cellStyle name="Normal 10 3 3" xfId="4491"/>
    <cellStyle name="Normal 10 3 3 2" xfId="4868"/>
    <cellStyle name="Normal 10 3 4" xfId="4869"/>
    <cellStyle name="Normal 10 4" xfId="4492"/>
    <cellStyle name="Normal 100" xfId="3700"/>
    <cellStyle name="Normal 101" xfId="323"/>
    <cellStyle name="Normal 102" xfId="7121"/>
    <cellStyle name="Normal 103" xfId="319"/>
    <cellStyle name="Normal 104" xfId="7131"/>
    <cellStyle name="Normal 105" xfId="7134"/>
    <cellStyle name="Normal 106" xfId="7137"/>
    <cellStyle name="Normal 107" xfId="7136"/>
    <cellStyle name="Normal 108" xfId="7140"/>
    <cellStyle name="Normal 109" xfId="7154"/>
    <cellStyle name="Normal 11" xfId="708"/>
    <cellStyle name="Normal 11 2" xfId="4177"/>
    <cellStyle name="Normal 12" xfId="709"/>
    <cellStyle name="Normal 12 2" xfId="3992"/>
    <cellStyle name="Normal 12 2 2" xfId="4283"/>
    <cellStyle name="Normal 12 2 3" xfId="4493"/>
    <cellStyle name="Normal 12 3" xfId="4089"/>
    <cellStyle name="Normal 12 3 2" xfId="4284"/>
    <cellStyle name="Normal 12 4" xfId="4090"/>
    <cellStyle name="Normal 12 5" xfId="4178"/>
    <cellStyle name="Normal 13" xfId="710"/>
    <cellStyle name="Normal 13 2" xfId="3993"/>
    <cellStyle name="Normal 13 2 2" xfId="4285"/>
    <cellStyle name="Normal 13 2 3" xfId="4494"/>
    <cellStyle name="Normal 13 3" xfId="4091"/>
    <cellStyle name="Normal 13 3 2" xfId="4286"/>
    <cellStyle name="Normal 13 4" xfId="4092"/>
    <cellStyle name="Normal 13 5" xfId="4179"/>
    <cellStyle name="Normal 14" xfId="711"/>
    <cellStyle name="Normal 14 2" xfId="4180"/>
    <cellStyle name="Normal 15" xfId="712"/>
    <cellStyle name="Normal 15 2" xfId="4181"/>
    <cellStyle name="Normal 16" xfId="713"/>
    <cellStyle name="Normal 16 2" xfId="4182"/>
    <cellStyle name="Normal 17" xfId="714"/>
    <cellStyle name="Normal 18" xfId="715"/>
    <cellStyle name="Normal 18 2" xfId="4183"/>
    <cellStyle name="Normal 19" xfId="863"/>
    <cellStyle name="Normal 19 10" xfId="2347"/>
    <cellStyle name="Normal 19 10 2" xfId="3435"/>
    <cellStyle name="Normal 19 10 2 2" xfId="6844"/>
    <cellStyle name="Normal 19 10 3" xfId="5846"/>
    <cellStyle name="Normal 19 11" xfId="1905"/>
    <cellStyle name="Normal 19 11 2" xfId="3000"/>
    <cellStyle name="Normal 19 11 2 2" xfId="6409"/>
    <cellStyle name="Normal 19 11 3" xfId="5411"/>
    <cellStyle name="Normal 19 12" xfId="1628"/>
    <cellStyle name="Normal 19 12 2" xfId="2723"/>
    <cellStyle name="Normal 19 12 2 2" xfId="6139"/>
    <cellStyle name="Normal 19 12 3" xfId="5141"/>
    <cellStyle name="Normal 19 13" xfId="1589"/>
    <cellStyle name="Normal 19 13 2" xfId="5111"/>
    <cellStyle name="Normal 19 14" xfId="2641"/>
    <cellStyle name="Normal 19 14 2" xfId="6116"/>
    <cellStyle name="Normal 19 15" xfId="3716"/>
    <cellStyle name="Normal 19 2" xfId="1132"/>
    <cellStyle name="Normal 19 2 10" xfId="2758"/>
    <cellStyle name="Normal 19 2 10 2" xfId="6169"/>
    <cellStyle name="Normal 19 2 11" xfId="3761"/>
    <cellStyle name="Normal 19 2 2" xfId="1415"/>
    <cellStyle name="Normal 19 2 2 2" xfId="1566"/>
    <cellStyle name="Normal 19 2 2 2 2" xfId="2605"/>
    <cellStyle name="Normal 19 2 2 2 2 2" xfId="3690"/>
    <cellStyle name="Normal 19 2 2 2 2 2 2" xfId="7099"/>
    <cellStyle name="Normal 19 2 2 2 2 3" xfId="6101"/>
    <cellStyle name="Normal 19 2 2 2 3" xfId="2330"/>
    <cellStyle name="Normal 19 2 2 2 3 2" xfId="3420"/>
    <cellStyle name="Normal 19 2 2 2 3 2 2" xfId="6829"/>
    <cellStyle name="Normal 19 2 2 2 3 3" xfId="5831"/>
    <cellStyle name="Normal 19 2 2 2 4" xfId="1886"/>
    <cellStyle name="Normal 19 2 2 2 4 2" xfId="5396"/>
    <cellStyle name="Normal 19 2 2 2 5" xfId="2985"/>
    <cellStyle name="Normal 19 2 2 2 5 2" xfId="6394"/>
    <cellStyle name="Normal 19 2 2 2 6" xfId="5096"/>
    <cellStyle name="Normal 19 2 2 3" xfId="2220"/>
    <cellStyle name="Normal 19 2 2 3 2" xfId="3310"/>
    <cellStyle name="Normal 19 2 2 3 2 2" xfId="6719"/>
    <cellStyle name="Normal 19 2 2 3 3" xfId="5721"/>
    <cellStyle name="Normal 19 2 2 4" xfId="2495"/>
    <cellStyle name="Normal 19 2 2 4 2" xfId="3580"/>
    <cellStyle name="Normal 19 2 2 4 2 2" xfId="6989"/>
    <cellStyle name="Normal 19 2 2 4 3" xfId="5991"/>
    <cellStyle name="Normal 19 2 2 5" xfId="2055"/>
    <cellStyle name="Normal 19 2 2 5 2" xfId="3150"/>
    <cellStyle name="Normal 19 2 2 5 2 2" xfId="6559"/>
    <cellStyle name="Normal 19 2 2 5 3" xfId="5561"/>
    <cellStyle name="Normal 19 2 2 6" xfId="1776"/>
    <cellStyle name="Normal 19 2 2 6 2" xfId="5286"/>
    <cellStyle name="Normal 19 2 2 7" xfId="2875"/>
    <cellStyle name="Normal 19 2 2 7 2" xfId="6284"/>
    <cellStyle name="Normal 19 2 2 8" xfId="3866"/>
    <cellStyle name="Normal 19 2 3" xfId="1358"/>
    <cellStyle name="Normal 19 2 3 2" xfId="2175"/>
    <cellStyle name="Normal 19 2 3 2 2" xfId="3265"/>
    <cellStyle name="Normal 19 2 3 2 2 2" xfId="6674"/>
    <cellStyle name="Normal 19 2 3 2 3" xfId="5676"/>
    <cellStyle name="Normal 19 2 3 3" xfId="2450"/>
    <cellStyle name="Normal 19 2 3 3 2" xfId="3535"/>
    <cellStyle name="Normal 19 2 3 3 2 2" xfId="6944"/>
    <cellStyle name="Normal 19 2 3 3 3" xfId="5946"/>
    <cellStyle name="Normal 19 2 3 4" xfId="2010"/>
    <cellStyle name="Normal 19 2 3 4 2" xfId="3105"/>
    <cellStyle name="Normal 19 2 3 4 2 2" xfId="6514"/>
    <cellStyle name="Normal 19 2 3 4 3" xfId="5516"/>
    <cellStyle name="Normal 19 2 3 5" xfId="1731"/>
    <cellStyle name="Normal 19 2 3 5 2" xfId="5241"/>
    <cellStyle name="Normal 19 2 3 6" xfId="2830"/>
    <cellStyle name="Normal 19 2 3 6 2" xfId="6239"/>
    <cellStyle name="Normal 19 2 3 7" xfId="3821"/>
    <cellStyle name="Normal 19 2 4" xfId="1506"/>
    <cellStyle name="Normal 19 2 4 2" xfId="2545"/>
    <cellStyle name="Normal 19 2 4 2 2" xfId="3630"/>
    <cellStyle name="Normal 19 2 4 2 2 2" xfId="7039"/>
    <cellStyle name="Normal 19 2 4 2 3" xfId="6041"/>
    <cellStyle name="Normal 19 2 4 3" xfId="2270"/>
    <cellStyle name="Normal 19 2 4 3 2" xfId="3360"/>
    <cellStyle name="Normal 19 2 4 3 2 2" xfId="6769"/>
    <cellStyle name="Normal 19 2 4 3 3" xfId="5771"/>
    <cellStyle name="Normal 19 2 4 4" xfId="1826"/>
    <cellStyle name="Normal 19 2 4 4 2" xfId="5336"/>
    <cellStyle name="Normal 19 2 4 5" xfId="2925"/>
    <cellStyle name="Normal 19 2 4 5 2" xfId="6334"/>
    <cellStyle name="Normal 19 2 4 6" xfId="5036"/>
    <cellStyle name="Normal 19 2 5" xfId="2105"/>
    <cellStyle name="Normal 19 2 5 2" xfId="3195"/>
    <cellStyle name="Normal 19 2 5 2 2" xfId="6604"/>
    <cellStyle name="Normal 19 2 5 3" xfId="5606"/>
    <cellStyle name="Normal 19 2 6" xfId="2378"/>
    <cellStyle name="Normal 19 2 6 2" xfId="3465"/>
    <cellStyle name="Normal 19 2 6 2 2" xfId="6874"/>
    <cellStyle name="Normal 19 2 6 3" xfId="5876"/>
    <cellStyle name="Normal 19 2 7" xfId="1950"/>
    <cellStyle name="Normal 19 2 7 2" xfId="3045"/>
    <cellStyle name="Normal 19 2 7 2 2" xfId="6454"/>
    <cellStyle name="Normal 19 2 7 3" xfId="5456"/>
    <cellStyle name="Normal 19 2 8" xfId="1659"/>
    <cellStyle name="Normal 19 2 8 2" xfId="5171"/>
    <cellStyle name="Normal 19 2 9" xfId="1607"/>
    <cellStyle name="Normal 19 2 9 2" xfId="5126"/>
    <cellStyle name="Normal 19 3" xfId="1039"/>
    <cellStyle name="Normal 19 3 10" xfId="3746"/>
    <cellStyle name="Normal 19 3 2" xfId="1400"/>
    <cellStyle name="Normal 19 3 2 2" xfId="1551"/>
    <cellStyle name="Normal 19 3 2 2 2" xfId="2590"/>
    <cellStyle name="Normal 19 3 2 2 2 2" xfId="3675"/>
    <cellStyle name="Normal 19 3 2 2 2 2 2" xfId="7084"/>
    <cellStyle name="Normal 19 3 2 2 2 3" xfId="6086"/>
    <cellStyle name="Normal 19 3 2 2 3" xfId="2315"/>
    <cellStyle name="Normal 19 3 2 2 3 2" xfId="3405"/>
    <cellStyle name="Normal 19 3 2 2 3 2 2" xfId="6814"/>
    <cellStyle name="Normal 19 3 2 2 3 3" xfId="5816"/>
    <cellStyle name="Normal 19 3 2 2 4" xfId="1871"/>
    <cellStyle name="Normal 19 3 2 2 4 2" xfId="5381"/>
    <cellStyle name="Normal 19 3 2 2 5" xfId="2970"/>
    <cellStyle name="Normal 19 3 2 2 5 2" xfId="6379"/>
    <cellStyle name="Normal 19 3 2 2 6" xfId="5081"/>
    <cellStyle name="Normal 19 3 2 3" xfId="2205"/>
    <cellStyle name="Normal 19 3 2 3 2" xfId="3295"/>
    <cellStyle name="Normal 19 3 2 3 2 2" xfId="6704"/>
    <cellStyle name="Normal 19 3 2 3 3" xfId="5706"/>
    <cellStyle name="Normal 19 3 2 4" xfId="2480"/>
    <cellStyle name="Normal 19 3 2 4 2" xfId="3565"/>
    <cellStyle name="Normal 19 3 2 4 2 2" xfId="6974"/>
    <cellStyle name="Normal 19 3 2 4 3" xfId="5976"/>
    <cellStyle name="Normal 19 3 2 5" xfId="2040"/>
    <cellStyle name="Normal 19 3 2 5 2" xfId="3135"/>
    <cellStyle name="Normal 19 3 2 5 2 2" xfId="6544"/>
    <cellStyle name="Normal 19 3 2 5 3" xfId="5546"/>
    <cellStyle name="Normal 19 3 2 6" xfId="1761"/>
    <cellStyle name="Normal 19 3 2 6 2" xfId="5271"/>
    <cellStyle name="Normal 19 3 2 7" xfId="2860"/>
    <cellStyle name="Normal 19 3 2 7 2" xfId="6269"/>
    <cellStyle name="Normal 19 3 2 8" xfId="3851"/>
    <cellStyle name="Normal 19 3 3" xfId="1332"/>
    <cellStyle name="Normal 19 3 3 2" xfId="2159"/>
    <cellStyle name="Normal 19 3 3 2 2" xfId="3249"/>
    <cellStyle name="Normal 19 3 3 2 2 2" xfId="6658"/>
    <cellStyle name="Normal 19 3 3 2 3" xfId="5660"/>
    <cellStyle name="Normal 19 3 3 3" xfId="2434"/>
    <cellStyle name="Normal 19 3 3 3 2" xfId="3519"/>
    <cellStyle name="Normal 19 3 3 3 2 2" xfId="6928"/>
    <cellStyle name="Normal 19 3 3 3 3" xfId="5930"/>
    <cellStyle name="Normal 19 3 3 4" xfId="1995"/>
    <cellStyle name="Normal 19 3 3 4 2" xfId="3090"/>
    <cellStyle name="Normal 19 3 3 4 2 2" xfId="6499"/>
    <cellStyle name="Normal 19 3 3 4 3" xfId="5501"/>
    <cellStyle name="Normal 19 3 3 5" xfId="1715"/>
    <cellStyle name="Normal 19 3 3 5 2" xfId="5225"/>
    <cellStyle name="Normal 19 3 3 6" xfId="2814"/>
    <cellStyle name="Normal 19 3 3 6 2" xfId="6223"/>
    <cellStyle name="Normal 19 3 3 7" xfId="3806"/>
    <cellStyle name="Normal 19 3 4" xfId="1491"/>
    <cellStyle name="Normal 19 3 4 2" xfId="2530"/>
    <cellStyle name="Normal 19 3 4 2 2" xfId="3615"/>
    <cellStyle name="Normal 19 3 4 2 2 2" xfId="7024"/>
    <cellStyle name="Normal 19 3 4 2 3" xfId="6026"/>
    <cellStyle name="Normal 19 3 4 3" xfId="2255"/>
    <cellStyle name="Normal 19 3 4 3 2" xfId="3345"/>
    <cellStyle name="Normal 19 3 4 3 2 2" xfId="6754"/>
    <cellStyle name="Normal 19 3 4 3 3" xfId="5756"/>
    <cellStyle name="Normal 19 3 4 4" xfId="1811"/>
    <cellStyle name="Normal 19 3 4 4 2" xfId="5321"/>
    <cellStyle name="Normal 19 3 4 5" xfId="2910"/>
    <cellStyle name="Normal 19 3 4 5 2" xfId="6319"/>
    <cellStyle name="Normal 19 3 4 6" xfId="5021"/>
    <cellStyle name="Normal 19 3 5" xfId="2089"/>
    <cellStyle name="Normal 19 3 5 2" xfId="3180"/>
    <cellStyle name="Normal 19 3 5 2 2" xfId="6589"/>
    <cellStyle name="Normal 19 3 5 3" xfId="5591"/>
    <cellStyle name="Normal 19 3 6" xfId="2363"/>
    <cellStyle name="Normal 19 3 6 2" xfId="3450"/>
    <cellStyle name="Normal 19 3 6 2 2" xfId="6859"/>
    <cellStyle name="Normal 19 3 6 3" xfId="5861"/>
    <cellStyle name="Normal 19 3 7" xfId="1935"/>
    <cellStyle name="Normal 19 3 7 2" xfId="3030"/>
    <cellStyle name="Normal 19 3 7 2 2" xfId="6439"/>
    <cellStyle name="Normal 19 3 7 3" xfId="5441"/>
    <cellStyle name="Normal 19 3 8" xfId="1644"/>
    <cellStyle name="Normal 19 3 8 2" xfId="5156"/>
    <cellStyle name="Normal 19 3 9" xfId="2739"/>
    <cellStyle name="Normal 19 3 9 2" xfId="6154"/>
    <cellStyle name="Normal 19 4" xfId="1307"/>
    <cellStyle name="Normal 19 4 2" xfId="1521"/>
    <cellStyle name="Normal 19 4 2 2" xfId="2560"/>
    <cellStyle name="Normal 19 4 2 2 2" xfId="3645"/>
    <cellStyle name="Normal 19 4 2 2 2 2" xfId="7054"/>
    <cellStyle name="Normal 19 4 2 2 3" xfId="6056"/>
    <cellStyle name="Normal 19 4 2 3" xfId="2285"/>
    <cellStyle name="Normal 19 4 2 3 2" xfId="3375"/>
    <cellStyle name="Normal 19 4 2 3 2 2" xfId="6784"/>
    <cellStyle name="Normal 19 4 2 3 3" xfId="5786"/>
    <cellStyle name="Normal 19 4 2 4" xfId="1841"/>
    <cellStyle name="Normal 19 4 2 4 2" xfId="5351"/>
    <cellStyle name="Normal 19 4 2 5" xfId="2940"/>
    <cellStyle name="Normal 19 4 2 5 2" xfId="6349"/>
    <cellStyle name="Normal 19 4 2 6" xfId="5051"/>
    <cellStyle name="Normal 19 4 3" xfId="2144"/>
    <cellStyle name="Normal 19 4 3 2" xfId="3234"/>
    <cellStyle name="Normal 19 4 3 2 2" xfId="6643"/>
    <cellStyle name="Normal 19 4 3 3" xfId="5645"/>
    <cellStyle name="Normal 19 4 4" xfId="2419"/>
    <cellStyle name="Normal 19 4 4 2" xfId="3504"/>
    <cellStyle name="Normal 19 4 4 2 2" xfId="6913"/>
    <cellStyle name="Normal 19 4 4 3" xfId="5915"/>
    <cellStyle name="Normal 19 4 5" xfId="1980"/>
    <cellStyle name="Normal 19 4 5 2" xfId="3075"/>
    <cellStyle name="Normal 19 4 5 2 2" xfId="6484"/>
    <cellStyle name="Normal 19 4 5 3" xfId="5486"/>
    <cellStyle name="Normal 19 4 6" xfId="1699"/>
    <cellStyle name="Normal 19 4 6 2" xfId="5210"/>
    <cellStyle name="Normal 19 4 7" xfId="2798"/>
    <cellStyle name="Normal 19 4 7 2" xfId="6208"/>
    <cellStyle name="Normal 19 4 8" xfId="3791"/>
    <cellStyle name="Normal 19 5" xfId="1383"/>
    <cellStyle name="Normal 19 5 2" xfId="1536"/>
    <cellStyle name="Normal 19 5 2 2" xfId="2575"/>
    <cellStyle name="Normal 19 5 2 2 2" xfId="3660"/>
    <cellStyle name="Normal 19 5 2 2 2 2" xfId="7069"/>
    <cellStyle name="Normal 19 5 2 2 3" xfId="6071"/>
    <cellStyle name="Normal 19 5 2 3" xfId="2300"/>
    <cellStyle name="Normal 19 5 2 3 2" xfId="3390"/>
    <cellStyle name="Normal 19 5 2 3 2 2" xfId="6799"/>
    <cellStyle name="Normal 19 5 2 3 3" xfId="5801"/>
    <cellStyle name="Normal 19 5 2 4" xfId="1856"/>
    <cellStyle name="Normal 19 5 2 4 2" xfId="5366"/>
    <cellStyle name="Normal 19 5 2 5" xfId="2955"/>
    <cellStyle name="Normal 19 5 2 5 2" xfId="6364"/>
    <cellStyle name="Normal 19 5 2 6" xfId="5066"/>
    <cellStyle name="Normal 19 5 3" xfId="2190"/>
    <cellStyle name="Normal 19 5 3 2" xfId="3280"/>
    <cellStyle name="Normal 19 5 3 2 2" xfId="6689"/>
    <cellStyle name="Normal 19 5 3 3" xfId="5691"/>
    <cellStyle name="Normal 19 5 4" xfId="2465"/>
    <cellStyle name="Normal 19 5 4 2" xfId="3550"/>
    <cellStyle name="Normal 19 5 4 2 2" xfId="6959"/>
    <cellStyle name="Normal 19 5 4 3" xfId="5961"/>
    <cellStyle name="Normal 19 5 5" xfId="2025"/>
    <cellStyle name="Normal 19 5 5 2" xfId="3120"/>
    <cellStyle name="Normal 19 5 5 2 2" xfId="6529"/>
    <cellStyle name="Normal 19 5 5 3" xfId="5531"/>
    <cellStyle name="Normal 19 5 6" xfId="1746"/>
    <cellStyle name="Normal 19 5 6 2" xfId="5256"/>
    <cellStyle name="Normal 19 5 7" xfId="2845"/>
    <cellStyle name="Normal 19 5 7 2" xfId="6254"/>
    <cellStyle name="Normal 19 5 8" xfId="3836"/>
    <cellStyle name="Normal 19 6" xfId="1214"/>
    <cellStyle name="Normal 19 6 2" xfId="2129"/>
    <cellStyle name="Normal 19 6 2 2" xfId="3219"/>
    <cellStyle name="Normal 19 6 2 2 2" xfId="6628"/>
    <cellStyle name="Normal 19 6 2 3" xfId="5630"/>
    <cellStyle name="Normal 19 6 3" xfId="2402"/>
    <cellStyle name="Normal 19 6 3 2" xfId="3489"/>
    <cellStyle name="Normal 19 6 3 2 2" xfId="6898"/>
    <cellStyle name="Normal 19 6 3 3" xfId="5900"/>
    <cellStyle name="Normal 19 6 4" xfId="1965"/>
    <cellStyle name="Normal 19 6 4 2" xfId="3060"/>
    <cellStyle name="Normal 19 6 4 2 2" xfId="6469"/>
    <cellStyle name="Normal 19 6 4 3" xfId="5471"/>
    <cellStyle name="Normal 19 6 5" xfId="1684"/>
    <cellStyle name="Normal 19 6 5 2" xfId="5195"/>
    <cellStyle name="Normal 19 6 6" xfId="2782"/>
    <cellStyle name="Normal 19 6 6 2" xfId="6193"/>
    <cellStyle name="Normal 19 6 7" xfId="3776"/>
    <cellStyle name="Normal 19 7" xfId="1343"/>
    <cellStyle name="Normal 19 7 2" xfId="2160"/>
    <cellStyle name="Normal 19 7 2 2" xfId="3250"/>
    <cellStyle name="Normal 19 7 2 2 2" xfId="6659"/>
    <cellStyle name="Normal 19 7 2 3" xfId="5661"/>
    <cellStyle name="Normal 19 7 3" xfId="2435"/>
    <cellStyle name="Normal 19 7 3 2" xfId="3520"/>
    <cellStyle name="Normal 19 7 3 2 2" xfId="6929"/>
    <cellStyle name="Normal 19 7 3 3" xfId="5931"/>
    <cellStyle name="Normal 19 7 4" xfId="1920"/>
    <cellStyle name="Normal 19 7 4 2" xfId="3015"/>
    <cellStyle name="Normal 19 7 4 2 2" xfId="6424"/>
    <cellStyle name="Normal 19 7 4 3" xfId="5426"/>
    <cellStyle name="Normal 19 7 5" xfId="1716"/>
    <cellStyle name="Normal 19 7 5 2" xfId="5226"/>
    <cellStyle name="Normal 19 7 6" xfId="2815"/>
    <cellStyle name="Normal 19 7 6 2" xfId="6224"/>
    <cellStyle name="Normal 19 7 7" xfId="3731"/>
    <cellStyle name="Normal 19 8" xfId="1476"/>
    <cellStyle name="Normal 19 8 2" xfId="2515"/>
    <cellStyle name="Normal 19 8 2 2" xfId="3600"/>
    <cellStyle name="Normal 19 8 2 2 2" xfId="7009"/>
    <cellStyle name="Normal 19 8 2 3" xfId="6011"/>
    <cellStyle name="Normal 19 8 3" xfId="2240"/>
    <cellStyle name="Normal 19 8 3 2" xfId="3330"/>
    <cellStyle name="Normal 19 8 3 2 2" xfId="6739"/>
    <cellStyle name="Normal 19 8 3 3" xfId="5741"/>
    <cellStyle name="Normal 19 8 4" xfId="1796"/>
    <cellStyle name="Normal 19 8 4 2" xfId="5306"/>
    <cellStyle name="Normal 19 8 5" xfId="2895"/>
    <cellStyle name="Normal 19 8 5 2" xfId="6304"/>
    <cellStyle name="Normal 19 8 6" xfId="5006"/>
    <cellStyle name="Normal 19 9" xfId="2074"/>
    <cellStyle name="Normal 19 9 2" xfId="3165"/>
    <cellStyle name="Normal 19 9 2 2" xfId="6574"/>
    <cellStyle name="Normal 19 9 3" xfId="5576"/>
    <cellStyle name="Normal 2" xfId="142"/>
    <cellStyle name="Normal 2 10" xfId="4495"/>
    <cellStyle name="Normal 2 11" xfId="446"/>
    <cellStyle name="Normal 2 12" xfId="320"/>
    <cellStyle name="Normal 2 13" xfId="276"/>
    <cellStyle name="Normal 2 2" xfId="716"/>
    <cellStyle name="Normal 2 2 2" xfId="717"/>
    <cellStyle name="Normal 2 2 2 2" xfId="4184"/>
    <cellStyle name="Normal 2 2 3" xfId="718"/>
    <cellStyle name="Normal 2 2 3 2" xfId="4287"/>
    <cellStyle name="Normal 2 2 4" xfId="4185"/>
    <cellStyle name="Normal 2 2 5" xfId="4186"/>
    <cellStyle name="Normal 2 2 6" xfId="4288"/>
    <cellStyle name="Normal 2 2 6 2" xfId="4496"/>
    <cellStyle name="Normal 2 2 7" xfId="4497"/>
    <cellStyle name="Normal 2 2 8" xfId="4498"/>
    <cellStyle name="Normal 2 3" xfId="719"/>
    <cellStyle name="Normal 2 3 2" xfId="4093"/>
    <cellStyle name="Normal 2 3 3" xfId="4094"/>
    <cellStyle name="Normal 2 3 3 2" xfId="4289"/>
    <cellStyle name="Normal 2 3 3 2 2" xfId="4499"/>
    <cellStyle name="Normal 2 3 3 2 2 2" xfId="4870"/>
    <cellStyle name="Normal 2 3 3 2 3" xfId="4871"/>
    <cellStyle name="Normal 2 3 3 3" xfId="4500"/>
    <cellStyle name="Normal 2 3 3 3 2" xfId="4872"/>
    <cellStyle name="Normal 2 3 3 4" xfId="4873"/>
    <cellStyle name="Normal 2 3 4" xfId="4290"/>
    <cellStyle name="Normal 2 3 4 2" xfId="4501"/>
    <cellStyle name="Normal 2 3 4 2 2" xfId="4874"/>
    <cellStyle name="Normal 2 3 4 3" xfId="4875"/>
    <cellStyle name="Normal 2 3 5" xfId="4502"/>
    <cellStyle name="Normal 2 3 5 2" xfId="4876"/>
    <cellStyle name="Normal 2 3 6" xfId="4877"/>
    <cellStyle name="Normal 2 4" xfId="720"/>
    <cellStyle name="Normal 2 4 2" xfId="4095"/>
    <cellStyle name="Normal 2 4 2 2" xfId="4291"/>
    <cellStyle name="Normal 2 4 2 2 2" xfId="4503"/>
    <cellStyle name="Normal 2 4 2 2 2 2" xfId="4878"/>
    <cellStyle name="Normal 2 4 2 2 3" xfId="4879"/>
    <cellStyle name="Normal 2 4 2 3" xfId="4504"/>
    <cellStyle name="Normal 2 4 2 3 2" xfId="4880"/>
    <cellStyle name="Normal 2 4 2 4" xfId="4881"/>
    <cellStyle name="Normal 2 4 2 5" xfId="4882"/>
    <cellStyle name="Normal 2 4 3" xfId="4187"/>
    <cellStyle name="Normal 2 4 3 2" xfId="4292"/>
    <cellStyle name="Normal 2 4 3 2 2" xfId="4505"/>
    <cellStyle name="Normal 2 4 3 2 2 2" xfId="4883"/>
    <cellStyle name="Normal 2 4 3 2 3" xfId="4884"/>
    <cellStyle name="Normal 2 4 3 3" xfId="4506"/>
    <cellStyle name="Normal 2 4 3 3 2" xfId="4885"/>
    <cellStyle name="Normal 2 4 3 4" xfId="4886"/>
    <cellStyle name="Normal 2 4 4" xfId="4293"/>
    <cellStyle name="Normal 2 4 4 2" xfId="4507"/>
    <cellStyle name="Normal 2 4 4 2 2" xfId="4887"/>
    <cellStyle name="Normal 2 4 4 3" xfId="4888"/>
    <cellStyle name="Normal 2 4 5" xfId="4508"/>
    <cellStyle name="Normal 2 4 5 2" xfId="4889"/>
    <cellStyle name="Normal 2 4 6" xfId="4890"/>
    <cellStyle name="Normal 2 4 7" xfId="4891"/>
    <cellStyle name="Normal 2 5" xfId="721"/>
    <cellStyle name="Normal 2 5 2" xfId="4294"/>
    <cellStyle name="Normal 2 5 2 2" xfId="4509"/>
    <cellStyle name="Normal 2 5 2 2 2" xfId="4892"/>
    <cellStyle name="Normal 2 5 2 3" xfId="4893"/>
    <cellStyle name="Normal 2 5 3" xfId="4510"/>
    <cellStyle name="Normal 2 5 4" xfId="4511"/>
    <cellStyle name="Normal 2 5 4 2" xfId="4894"/>
    <cellStyle name="Normal 2 5 5" xfId="4895"/>
    <cellStyle name="Normal 2 6" xfId="4188"/>
    <cellStyle name="Normal 2 6 2" xfId="4896"/>
    <cellStyle name="Normal 2 7" xfId="4189"/>
    <cellStyle name="Normal 2 7 2" xfId="4295"/>
    <cellStyle name="Normal 2 7 2 2" xfId="4512"/>
    <cellStyle name="Normal 2 7 3" xfId="4513"/>
    <cellStyle name="Normal 2 8" xfId="4322"/>
    <cellStyle name="Normal 2 8 2" xfId="4514"/>
    <cellStyle name="Normal 2 9" xfId="4323"/>
    <cellStyle name="Normal 2 9 2" xfId="4897"/>
    <cellStyle name="Normal 20" xfId="1128"/>
    <cellStyle name="Normal 20 2" xfId="4190"/>
    <cellStyle name="Normal 20 2 2" xfId="4296"/>
    <cellStyle name="Normal 20 2 2 2" xfId="4515"/>
    <cellStyle name="Normal 20 2 3" xfId="4516"/>
    <cellStyle name="Normal 20 3" xfId="4297"/>
    <cellStyle name="Normal 20 3 2" xfId="4517"/>
    <cellStyle name="Normal 20 4" xfId="4518"/>
    <cellStyle name="Normal 20 5" xfId="4096"/>
    <cellStyle name="Normal 21" xfId="1122"/>
    <cellStyle name="Normal 21 2" xfId="4191"/>
    <cellStyle name="Normal 21 2 2" xfId="4298"/>
    <cellStyle name="Normal 21 2 2 2" xfId="4519"/>
    <cellStyle name="Normal 21 2 3" xfId="4520"/>
    <cellStyle name="Normal 21 3" xfId="4299"/>
    <cellStyle name="Normal 21 3 2" xfId="4521"/>
    <cellStyle name="Normal 21 4" xfId="4522"/>
    <cellStyle name="Normal 21 5" xfId="4097"/>
    <cellStyle name="Normal 22" xfId="1126"/>
    <cellStyle name="Normal 22 2" xfId="4898"/>
    <cellStyle name="Normal 22 3" xfId="4098"/>
    <cellStyle name="Normal 23" xfId="1131"/>
    <cellStyle name="Normal 23 2" xfId="4899"/>
    <cellStyle name="Normal 23 3" xfId="4099"/>
    <cellStyle name="Normal 24" xfId="1134"/>
    <cellStyle name="Normal 24 2" xfId="4100"/>
    <cellStyle name="Normal 25" xfId="1129"/>
    <cellStyle name="Normal 25 2" xfId="4101"/>
    <cellStyle name="Normal 26" xfId="955"/>
    <cellStyle name="Normal 26 2" xfId="4102"/>
    <cellStyle name="Normal 27" xfId="1024"/>
    <cellStyle name="Normal 27 2" xfId="4523"/>
    <cellStyle name="Normal 27 3" xfId="4192"/>
    <cellStyle name="Normal 28" xfId="992"/>
    <cellStyle name="Normal 28 2" xfId="4524"/>
    <cellStyle name="Normal 28 3" xfId="4193"/>
    <cellStyle name="Normal 29" xfId="1223"/>
    <cellStyle name="Normal 29 2" xfId="4525"/>
    <cellStyle name="Normal 29 3" xfId="4194"/>
    <cellStyle name="Normal 3" xfId="251"/>
    <cellStyle name="Normal 3 10" xfId="3911"/>
    <cellStyle name="Normal 3 11" xfId="531"/>
    <cellStyle name="Normal 3 12" xfId="321"/>
    <cellStyle name="Normal 3 13" xfId="284"/>
    <cellStyle name="Normal 3 2" xfId="310"/>
    <cellStyle name="Normal 3 2 2" xfId="4103"/>
    <cellStyle name="Normal 3 2 3" xfId="4195"/>
    <cellStyle name="Normal 3 2 4" xfId="722"/>
    <cellStyle name="Normal 3 3" xfId="297"/>
    <cellStyle name="Normal 3 3 2" xfId="864"/>
    <cellStyle name="Normal 3 3 3" xfId="723"/>
    <cellStyle name="Normal 3 4" xfId="724"/>
    <cellStyle name="Normal 3 5" xfId="4104"/>
    <cellStyle name="Normal 3 6" xfId="4105"/>
    <cellStyle name="Normal 3 6 2" xfId="4300"/>
    <cellStyle name="Normal 3 6 2 2" xfId="4526"/>
    <cellStyle name="Normal 3 6 3" xfId="4527"/>
    <cellStyle name="Normal 3 7" xfId="4196"/>
    <cellStyle name="Normal 3 8" xfId="4324"/>
    <cellStyle name="Normal 3 8 2" xfId="4900"/>
    <cellStyle name="Normal 3 9" xfId="4528"/>
    <cellStyle name="Normal 30" xfId="1292"/>
    <cellStyle name="Normal 30 2" xfId="4529"/>
    <cellStyle name="Normal 30 3" xfId="4197"/>
    <cellStyle name="Normal 31" xfId="1260"/>
    <cellStyle name="Normal 31 2" xfId="4530"/>
    <cellStyle name="Normal 31 3" xfId="4198"/>
    <cellStyle name="Normal 32" xfId="1360"/>
    <cellStyle name="Normal 32 2" xfId="4531"/>
    <cellStyle name="Normal 32 3" xfId="4199"/>
    <cellStyle name="Normal 33" xfId="1361"/>
    <cellStyle name="Normal 33 2" xfId="4532"/>
    <cellStyle name="Normal 33 3" xfId="4301"/>
    <cellStyle name="Normal 34" xfId="1363"/>
    <cellStyle name="Normal 34 2" xfId="4901"/>
    <cellStyle name="Normal 34 3" xfId="4325"/>
    <cellStyle name="Normal 35" xfId="1381"/>
    <cellStyle name="Normal 35 2" xfId="4902"/>
    <cellStyle name="Normal 35 3" xfId="4533"/>
    <cellStyle name="Normal 36" xfId="1366"/>
    <cellStyle name="Normal 36 2" xfId="4903"/>
    <cellStyle name="Normal 36 3" xfId="4534"/>
    <cellStyle name="Normal 37" xfId="1379"/>
    <cellStyle name="Normal 37 2" xfId="4904"/>
    <cellStyle name="Normal 37 3" xfId="4535"/>
    <cellStyle name="Normal 38" xfId="1138"/>
    <cellStyle name="Normal 38 2" xfId="4905"/>
    <cellStyle name="Normal 38 3" xfId="4536"/>
    <cellStyle name="Normal 39" xfId="1204"/>
    <cellStyle name="Normal 39 2" xfId="4906"/>
    <cellStyle name="Normal 39 3" xfId="4537"/>
    <cellStyle name="Normal 4" xfId="286"/>
    <cellStyle name="Normal 4 2" xfId="312"/>
    <cellStyle name="Normal 4 2 2" xfId="726"/>
    <cellStyle name="Normal 4 3" xfId="299"/>
    <cellStyle name="Normal 4 3 2" xfId="865"/>
    <cellStyle name="Normal 4 4" xfId="866"/>
    <cellStyle name="Normal 4 5" xfId="4200"/>
    <cellStyle name="Normal 4 5 2" xfId="4302"/>
    <cellStyle name="Normal 4 5 2 2" xfId="4538"/>
    <cellStyle name="Normal 4 5 2 2 2" xfId="4907"/>
    <cellStyle name="Normal 4 5 2 3" xfId="4908"/>
    <cellStyle name="Normal 4 5 3" xfId="4539"/>
    <cellStyle name="Normal 4 5 3 2" xfId="4909"/>
    <cellStyle name="Normal 4 5 4" xfId="4910"/>
    <cellStyle name="Normal 4 6" xfId="4540"/>
    <cellStyle name="Normal 4 7" xfId="4911"/>
    <cellStyle name="Normal 4 8" xfId="725"/>
    <cellStyle name="Normal 4 9" xfId="322"/>
    <cellStyle name="Normal 40" xfId="1201"/>
    <cellStyle name="Normal 40 2" xfId="4912"/>
    <cellStyle name="Normal 40 3" xfId="4541"/>
    <cellStyle name="Normal 41" xfId="1148"/>
    <cellStyle name="Normal 41 2" xfId="4913"/>
    <cellStyle name="Normal 41 3" xfId="4542"/>
    <cellStyle name="Normal 42" xfId="1438"/>
    <cellStyle name="Normal 42 2" xfId="4914"/>
    <cellStyle name="Normal 43" xfId="1193"/>
    <cellStyle name="Normal 43 2" xfId="4915"/>
    <cellStyle name="Normal 44" xfId="1452"/>
    <cellStyle name="Normal 44 2" xfId="4916"/>
    <cellStyle name="Normal 45" xfId="1453"/>
    <cellStyle name="Normal 45 2" xfId="4917"/>
    <cellStyle name="Normal 46" xfId="1159"/>
    <cellStyle name="Normal 46 2" xfId="4918"/>
    <cellStyle name="Normal 47" xfId="1209"/>
    <cellStyle name="Normal 47 2" xfId="4919"/>
    <cellStyle name="Normal 48" xfId="1418"/>
    <cellStyle name="Normal 48 2" xfId="4920"/>
    <cellStyle name="Normal 49" xfId="1315"/>
    <cellStyle name="Normal 49 2" xfId="4921"/>
    <cellStyle name="Normal 5" xfId="265"/>
    <cellStyle name="Normal 5 2" xfId="728"/>
    <cellStyle name="Normal 5 3" xfId="4543"/>
    <cellStyle name="Normal 5 4" xfId="7135"/>
    <cellStyle name="Normal 5 5" xfId="727"/>
    <cellStyle name="Normal 50" xfId="1421"/>
    <cellStyle name="Normal 50 2" xfId="4922"/>
    <cellStyle name="Normal 51" xfId="1455"/>
    <cellStyle name="Normal 51 2" xfId="4923"/>
    <cellStyle name="Normal 52" xfId="1456"/>
    <cellStyle name="Normal 52 2" xfId="4924"/>
    <cellStyle name="Normal 53" xfId="1182"/>
    <cellStyle name="Normal 53 2" xfId="4925"/>
    <cellStyle name="Normal 54" xfId="1450"/>
    <cellStyle name="Normal 54 2" xfId="4926"/>
    <cellStyle name="Normal 55" xfId="1458"/>
    <cellStyle name="Normal 56" xfId="1443"/>
    <cellStyle name="Normal 57" xfId="1196"/>
    <cellStyle name="Normal 58" xfId="1157"/>
    <cellStyle name="Normal 59" xfId="1212"/>
    <cellStyle name="Normal 6" xfId="729"/>
    <cellStyle name="Normal 60" xfId="1221"/>
    <cellStyle name="Normal 61" xfId="1451"/>
    <cellStyle name="Normal 62" xfId="1156"/>
    <cellStyle name="Normal 63" xfId="1460"/>
    <cellStyle name="Normal 64" xfId="1342"/>
    <cellStyle name="Normal 65" xfId="2058"/>
    <cellStyle name="Normal 66" xfId="2057"/>
    <cellStyle name="Normal 67" xfId="2332"/>
    <cellStyle name="Normal 68" xfId="2403"/>
    <cellStyle name="Normal 69" xfId="1887"/>
    <cellStyle name="Normal 7" xfId="730"/>
    <cellStyle name="Normal 7 2" xfId="731"/>
    <cellStyle name="Normal 7 2 2" xfId="4201"/>
    <cellStyle name="Normal 7 3" xfId="732"/>
    <cellStyle name="Normal 7 3 2" xfId="4202"/>
    <cellStyle name="Normal 7 4" xfId="733"/>
    <cellStyle name="Normal 7 5" xfId="4203"/>
    <cellStyle name="Normal 7 6" xfId="4204"/>
    <cellStyle name="Normal 7 7" xfId="4544"/>
    <cellStyle name="Normal 70" xfId="1889"/>
    <cellStyle name="Normal 71" xfId="1608"/>
    <cellStyle name="Normal 72" xfId="1613"/>
    <cellStyle name="Normal 73" xfId="1660"/>
    <cellStyle name="Normal 74" xfId="2607"/>
    <cellStyle name="Normal 75" xfId="1612"/>
    <cellStyle name="Normal 76" xfId="2608"/>
    <cellStyle name="Normal 77" xfId="2609"/>
    <cellStyle name="Normal 78" xfId="1567"/>
    <cellStyle name="Normal 79" xfId="1569"/>
    <cellStyle name="Normal 8" xfId="734"/>
    <cellStyle name="Normal 8 2" xfId="735"/>
    <cellStyle name="Normal 8 2 2" xfId="4303"/>
    <cellStyle name="Normal 8 3" xfId="736"/>
    <cellStyle name="Normal 8 3 10" xfId="2346"/>
    <cellStyle name="Normal 8 3 10 2" xfId="3434"/>
    <cellStyle name="Normal 8 3 10 2 2" xfId="6843"/>
    <cellStyle name="Normal 8 3 10 3" xfId="5845"/>
    <cellStyle name="Normal 8 3 11" xfId="1903"/>
    <cellStyle name="Normal 8 3 11 2" xfId="2999"/>
    <cellStyle name="Normal 8 3 11 2 2" xfId="6408"/>
    <cellStyle name="Normal 8 3 11 3" xfId="5410"/>
    <cellStyle name="Normal 8 3 12" xfId="1627"/>
    <cellStyle name="Normal 8 3 12 2" xfId="2722"/>
    <cellStyle name="Normal 8 3 12 2 2" xfId="6138"/>
    <cellStyle name="Normal 8 3 12 3" xfId="5140"/>
    <cellStyle name="Normal 8 3 13" xfId="1586"/>
    <cellStyle name="Normal 8 3 13 2" xfId="5110"/>
    <cellStyle name="Normal 8 3 14" xfId="2638"/>
    <cellStyle name="Normal 8 3 14 2" xfId="6115"/>
    <cellStyle name="Normal 8 3 15" xfId="3715"/>
    <cellStyle name="Normal 8 3 2" xfId="1127"/>
    <cellStyle name="Normal 8 3 2 10" xfId="2757"/>
    <cellStyle name="Normal 8 3 2 10 2" xfId="6168"/>
    <cellStyle name="Normal 8 3 2 11" xfId="3760"/>
    <cellStyle name="Normal 8 3 2 2" xfId="1414"/>
    <cellStyle name="Normal 8 3 2 2 2" xfId="1565"/>
    <cellStyle name="Normal 8 3 2 2 2 2" xfId="2604"/>
    <cellStyle name="Normal 8 3 2 2 2 2 2" xfId="3689"/>
    <cellStyle name="Normal 8 3 2 2 2 2 2 2" xfId="7098"/>
    <cellStyle name="Normal 8 3 2 2 2 2 3" xfId="6100"/>
    <cellStyle name="Normal 8 3 2 2 2 3" xfId="2329"/>
    <cellStyle name="Normal 8 3 2 2 2 3 2" xfId="3419"/>
    <cellStyle name="Normal 8 3 2 2 2 3 2 2" xfId="6828"/>
    <cellStyle name="Normal 8 3 2 2 2 3 3" xfId="5830"/>
    <cellStyle name="Normal 8 3 2 2 2 4" xfId="1885"/>
    <cellStyle name="Normal 8 3 2 2 2 4 2" xfId="5395"/>
    <cellStyle name="Normal 8 3 2 2 2 5" xfId="2984"/>
    <cellStyle name="Normal 8 3 2 2 2 5 2" xfId="6393"/>
    <cellStyle name="Normal 8 3 2 2 2 6" xfId="5095"/>
    <cellStyle name="Normal 8 3 2 2 3" xfId="2219"/>
    <cellStyle name="Normal 8 3 2 2 3 2" xfId="3309"/>
    <cellStyle name="Normal 8 3 2 2 3 2 2" xfId="6718"/>
    <cellStyle name="Normal 8 3 2 2 3 3" xfId="5720"/>
    <cellStyle name="Normal 8 3 2 2 4" xfId="2494"/>
    <cellStyle name="Normal 8 3 2 2 4 2" xfId="3579"/>
    <cellStyle name="Normal 8 3 2 2 4 2 2" xfId="6988"/>
    <cellStyle name="Normal 8 3 2 2 4 3" xfId="5990"/>
    <cellStyle name="Normal 8 3 2 2 5" xfId="2054"/>
    <cellStyle name="Normal 8 3 2 2 5 2" xfId="3149"/>
    <cellStyle name="Normal 8 3 2 2 5 2 2" xfId="6558"/>
    <cellStyle name="Normal 8 3 2 2 5 3" xfId="5560"/>
    <cellStyle name="Normal 8 3 2 2 6" xfId="1775"/>
    <cellStyle name="Normal 8 3 2 2 6 2" xfId="5285"/>
    <cellStyle name="Normal 8 3 2 2 7" xfId="2874"/>
    <cellStyle name="Normal 8 3 2 2 7 2" xfId="6283"/>
    <cellStyle name="Normal 8 3 2 2 8" xfId="3865"/>
    <cellStyle name="Normal 8 3 2 3" xfId="1357"/>
    <cellStyle name="Normal 8 3 2 3 2" xfId="2174"/>
    <cellStyle name="Normal 8 3 2 3 2 2" xfId="3264"/>
    <cellStyle name="Normal 8 3 2 3 2 2 2" xfId="6673"/>
    <cellStyle name="Normal 8 3 2 3 2 3" xfId="5675"/>
    <cellStyle name="Normal 8 3 2 3 3" xfId="2449"/>
    <cellStyle name="Normal 8 3 2 3 3 2" xfId="3534"/>
    <cellStyle name="Normal 8 3 2 3 3 2 2" xfId="6943"/>
    <cellStyle name="Normal 8 3 2 3 3 3" xfId="5945"/>
    <cellStyle name="Normal 8 3 2 3 4" xfId="2009"/>
    <cellStyle name="Normal 8 3 2 3 4 2" xfId="3104"/>
    <cellStyle name="Normal 8 3 2 3 4 2 2" xfId="6513"/>
    <cellStyle name="Normal 8 3 2 3 4 3" xfId="5515"/>
    <cellStyle name="Normal 8 3 2 3 5" xfId="1730"/>
    <cellStyle name="Normal 8 3 2 3 5 2" xfId="5240"/>
    <cellStyle name="Normal 8 3 2 3 6" xfId="2829"/>
    <cellStyle name="Normal 8 3 2 3 6 2" xfId="6238"/>
    <cellStyle name="Normal 8 3 2 3 7" xfId="3820"/>
    <cellStyle name="Normal 8 3 2 4" xfId="1505"/>
    <cellStyle name="Normal 8 3 2 4 2" xfId="2544"/>
    <cellStyle name="Normal 8 3 2 4 2 2" xfId="3629"/>
    <cellStyle name="Normal 8 3 2 4 2 2 2" xfId="7038"/>
    <cellStyle name="Normal 8 3 2 4 2 3" xfId="6040"/>
    <cellStyle name="Normal 8 3 2 4 3" xfId="2269"/>
    <cellStyle name="Normal 8 3 2 4 3 2" xfId="3359"/>
    <cellStyle name="Normal 8 3 2 4 3 2 2" xfId="6768"/>
    <cellStyle name="Normal 8 3 2 4 3 3" xfId="5770"/>
    <cellStyle name="Normal 8 3 2 4 4" xfId="1825"/>
    <cellStyle name="Normal 8 3 2 4 4 2" xfId="5335"/>
    <cellStyle name="Normal 8 3 2 4 5" xfId="2924"/>
    <cellStyle name="Normal 8 3 2 4 5 2" xfId="6333"/>
    <cellStyle name="Normal 8 3 2 4 6" xfId="5035"/>
    <cellStyle name="Normal 8 3 2 5" xfId="2104"/>
    <cellStyle name="Normal 8 3 2 5 2" xfId="3194"/>
    <cellStyle name="Normal 8 3 2 5 2 2" xfId="6603"/>
    <cellStyle name="Normal 8 3 2 5 3" xfId="5605"/>
    <cellStyle name="Normal 8 3 2 6" xfId="2377"/>
    <cellStyle name="Normal 8 3 2 6 2" xfId="3464"/>
    <cellStyle name="Normal 8 3 2 6 2 2" xfId="6873"/>
    <cellStyle name="Normal 8 3 2 6 3" xfId="5875"/>
    <cellStyle name="Normal 8 3 2 7" xfId="1949"/>
    <cellStyle name="Normal 8 3 2 7 2" xfId="3044"/>
    <cellStyle name="Normal 8 3 2 7 2 2" xfId="6453"/>
    <cellStyle name="Normal 8 3 2 7 3" xfId="5455"/>
    <cellStyle name="Normal 8 3 2 8" xfId="1658"/>
    <cellStyle name="Normal 8 3 2 8 2" xfId="5170"/>
    <cellStyle name="Normal 8 3 2 9" xfId="1606"/>
    <cellStyle name="Normal 8 3 2 9 2" xfId="5125"/>
    <cellStyle name="Normal 8 3 3" xfId="1038"/>
    <cellStyle name="Normal 8 3 3 10" xfId="3745"/>
    <cellStyle name="Normal 8 3 3 2" xfId="1399"/>
    <cellStyle name="Normal 8 3 3 2 2" xfId="1550"/>
    <cellStyle name="Normal 8 3 3 2 2 2" xfId="2589"/>
    <cellStyle name="Normal 8 3 3 2 2 2 2" xfId="3674"/>
    <cellStyle name="Normal 8 3 3 2 2 2 2 2" xfId="7083"/>
    <cellStyle name="Normal 8 3 3 2 2 2 3" xfId="6085"/>
    <cellStyle name="Normal 8 3 3 2 2 3" xfId="2314"/>
    <cellStyle name="Normal 8 3 3 2 2 3 2" xfId="3404"/>
    <cellStyle name="Normal 8 3 3 2 2 3 2 2" xfId="6813"/>
    <cellStyle name="Normal 8 3 3 2 2 3 3" xfId="5815"/>
    <cellStyle name="Normal 8 3 3 2 2 4" xfId="1870"/>
    <cellStyle name="Normal 8 3 3 2 2 4 2" xfId="5380"/>
    <cellStyle name="Normal 8 3 3 2 2 5" xfId="2969"/>
    <cellStyle name="Normal 8 3 3 2 2 5 2" xfId="6378"/>
    <cellStyle name="Normal 8 3 3 2 2 6" xfId="5080"/>
    <cellStyle name="Normal 8 3 3 2 3" xfId="2204"/>
    <cellStyle name="Normal 8 3 3 2 3 2" xfId="3294"/>
    <cellStyle name="Normal 8 3 3 2 3 2 2" xfId="6703"/>
    <cellStyle name="Normal 8 3 3 2 3 3" xfId="5705"/>
    <cellStyle name="Normal 8 3 3 2 4" xfId="2479"/>
    <cellStyle name="Normal 8 3 3 2 4 2" xfId="3564"/>
    <cellStyle name="Normal 8 3 3 2 4 2 2" xfId="6973"/>
    <cellStyle name="Normal 8 3 3 2 4 3" xfId="5975"/>
    <cellStyle name="Normal 8 3 3 2 5" xfId="2039"/>
    <cellStyle name="Normal 8 3 3 2 5 2" xfId="3134"/>
    <cellStyle name="Normal 8 3 3 2 5 2 2" xfId="6543"/>
    <cellStyle name="Normal 8 3 3 2 5 3" xfId="5545"/>
    <cellStyle name="Normal 8 3 3 2 6" xfId="1760"/>
    <cellStyle name="Normal 8 3 3 2 6 2" xfId="5270"/>
    <cellStyle name="Normal 8 3 3 2 7" xfId="2859"/>
    <cellStyle name="Normal 8 3 3 2 7 2" xfId="6268"/>
    <cellStyle name="Normal 8 3 3 2 8" xfId="3850"/>
    <cellStyle name="Normal 8 3 3 3" xfId="1331"/>
    <cellStyle name="Normal 8 3 3 3 2" xfId="2158"/>
    <cellStyle name="Normal 8 3 3 3 2 2" xfId="3248"/>
    <cellStyle name="Normal 8 3 3 3 2 2 2" xfId="6657"/>
    <cellStyle name="Normal 8 3 3 3 2 3" xfId="5659"/>
    <cellStyle name="Normal 8 3 3 3 3" xfId="2433"/>
    <cellStyle name="Normal 8 3 3 3 3 2" xfId="3518"/>
    <cellStyle name="Normal 8 3 3 3 3 2 2" xfId="6927"/>
    <cellStyle name="Normal 8 3 3 3 3 3" xfId="5929"/>
    <cellStyle name="Normal 8 3 3 3 4" xfId="1994"/>
    <cellStyle name="Normal 8 3 3 3 4 2" xfId="3089"/>
    <cellStyle name="Normal 8 3 3 3 4 2 2" xfId="6498"/>
    <cellStyle name="Normal 8 3 3 3 4 3" xfId="5500"/>
    <cellStyle name="Normal 8 3 3 3 5" xfId="1714"/>
    <cellStyle name="Normal 8 3 3 3 5 2" xfId="5224"/>
    <cellStyle name="Normal 8 3 3 3 6" xfId="2813"/>
    <cellStyle name="Normal 8 3 3 3 6 2" xfId="6222"/>
    <cellStyle name="Normal 8 3 3 3 7" xfId="3805"/>
    <cellStyle name="Normal 8 3 3 4" xfId="1490"/>
    <cellStyle name="Normal 8 3 3 4 2" xfId="2529"/>
    <cellStyle name="Normal 8 3 3 4 2 2" xfId="3614"/>
    <cellStyle name="Normal 8 3 3 4 2 2 2" xfId="7023"/>
    <cellStyle name="Normal 8 3 3 4 2 3" xfId="6025"/>
    <cellStyle name="Normal 8 3 3 4 3" xfId="2254"/>
    <cellStyle name="Normal 8 3 3 4 3 2" xfId="3344"/>
    <cellStyle name="Normal 8 3 3 4 3 2 2" xfId="6753"/>
    <cellStyle name="Normal 8 3 3 4 3 3" xfId="5755"/>
    <cellStyle name="Normal 8 3 3 4 4" xfId="1810"/>
    <cellStyle name="Normal 8 3 3 4 4 2" xfId="5320"/>
    <cellStyle name="Normal 8 3 3 4 5" xfId="2909"/>
    <cellStyle name="Normal 8 3 3 4 5 2" xfId="6318"/>
    <cellStyle name="Normal 8 3 3 4 6" xfId="5020"/>
    <cellStyle name="Normal 8 3 3 5" xfId="2088"/>
    <cellStyle name="Normal 8 3 3 5 2" xfId="3179"/>
    <cellStyle name="Normal 8 3 3 5 2 2" xfId="6588"/>
    <cellStyle name="Normal 8 3 3 5 3" xfId="5590"/>
    <cellStyle name="Normal 8 3 3 6" xfId="2362"/>
    <cellStyle name="Normal 8 3 3 6 2" xfId="3449"/>
    <cellStyle name="Normal 8 3 3 6 2 2" xfId="6858"/>
    <cellStyle name="Normal 8 3 3 6 3" xfId="5860"/>
    <cellStyle name="Normal 8 3 3 7" xfId="1934"/>
    <cellStyle name="Normal 8 3 3 7 2" xfId="3029"/>
    <cellStyle name="Normal 8 3 3 7 2 2" xfId="6438"/>
    <cellStyle name="Normal 8 3 3 7 3" xfId="5440"/>
    <cellStyle name="Normal 8 3 3 8" xfId="1643"/>
    <cellStyle name="Normal 8 3 3 8 2" xfId="5155"/>
    <cellStyle name="Normal 8 3 3 9" xfId="2738"/>
    <cellStyle name="Normal 8 3 3 9 2" xfId="6153"/>
    <cellStyle name="Normal 8 3 4" xfId="1306"/>
    <cellStyle name="Normal 8 3 4 2" xfId="1520"/>
    <cellStyle name="Normal 8 3 4 2 2" xfId="2559"/>
    <cellStyle name="Normal 8 3 4 2 2 2" xfId="3644"/>
    <cellStyle name="Normal 8 3 4 2 2 2 2" xfId="7053"/>
    <cellStyle name="Normal 8 3 4 2 2 3" xfId="6055"/>
    <cellStyle name="Normal 8 3 4 2 3" xfId="2284"/>
    <cellStyle name="Normal 8 3 4 2 3 2" xfId="3374"/>
    <cellStyle name="Normal 8 3 4 2 3 2 2" xfId="6783"/>
    <cellStyle name="Normal 8 3 4 2 3 3" xfId="5785"/>
    <cellStyle name="Normal 8 3 4 2 4" xfId="1840"/>
    <cellStyle name="Normal 8 3 4 2 4 2" xfId="5350"/>
    <cellStyle name="Normal 8 3 4 2 5" xfId="2939"/>
    <cellStyle name="Normal 8 3 4 2 5 2" xfId="6348"/>
    <cellStyle name="Normal 8 3 4 2 6" xfId="5050"/>
    <cellStyle name="Normal 8 3 4 3" xfId="2143"/>
    <cellStyle name="Normal 8 3 4 3 2" xfId="3233"/>
    <cellStyle name="Normal 8 3 4 3 2 2" xfId="6642"/>
    <cellStyle name="Normal 8 3 4 3 3" xfId="5644"/>
    <cellStyle name="Normal 8 3 4 4" xfId="2418"/>
    <cellStyle name="Normal 8 3 4 4 2" xfId="3503"/>
    <cellStyle name="Normal 8 3 4 4 2 2" xfId="6912"/>
    <cellStyle name="Normal 8 3 4 4 3" xfId="5914"/>
    <cellStyle name="Normal 8 3 4 5" xfId="1979"/>
    <cellStyle name="Normal 8 3 4 5 2" xfId="3074"/>
    <cellStyle name="Normal 8 3 4 5 2 2" xfId="6483"/>
    <cellStyle name="Normal 8 3 4 5 3" xfId="5485"/>
    <cellStyle name="Normal 8 3 4 6" xfId="1698"/>
    <cellStyle name="Normal 8 3 4 6 2" xfId="5209"/>
    <cellStyle name="Normal 8 3 4 7" xfId="2797"/>
    <cellStyle name="Normal 8 3 4 7 2" xfId="6207"/>
    <cellStyle name="Normal 8 3 4 8" xfId="3790"/>
    <cellStyle name="Normal 8 3 5" xfId="1382"/>
    <cellStyle name="Normal 8 3 5 2" xfId="1535"/>
    <cellStyle name="Normal 8 3 5 2 2" xfId="2574"/>
    <cellStyle name="Normal 8 3 5 2 2 2" xfId="3659"/>
    <cellStyle name="Normal 8 3 5 2 2 2 2" xfId="7068"/>
    <cellStyle name="Normal 8 3 5 2 2 3" xfId="6070"/>
    <cellStyle name="Normal 8 3 5 2 3" xfId="2299"/>
    <cellStyle name="Normal 8 3 5 2 3 2" xfId="3389"/>
    <cellStyle name="Normal 8 3 5 2 3 2 2" xfId="6798"/>
    <cellStyle name="Normal 8 3 5 2 3 3" xfId="5800"/>
    <cellStyle name="Normal 8 3 5 2 4" xfId="1855"/>
    <cellStyle name="Normal 8 3 5 2 4 2" xfId="5365"/>
    <cellStyle name="Normal 8 3 5 2 5" xfId="2954"/>
    <cellStyle name="Normal 8 3 5 2 5 2" xfId="6363"/>
    <cellStyle name="Normal 8 3 5 2 6" xfId="5065"/>
    <cellStyle name="Normal 8 3 5 3" xfId="2189"/>
    <cellStyle name="Normal 8 3 5 3 2" xfId="3279"/>
    <cellStyle name="Normal 8 3 5 3 2 2" xfId="6688"/>
    <cellStyle name="Normal 8 3 5 3 3" xfId="5690"/>
    <cellStyle name="Normal 8 3 5 4" xfId="2464"/>
    <cellStyle name="Normal 8 3 5 4 2" xfId="3549"/>
    <cellStyle name="Normal 8 3 5 4 2 2" xfId="6958"/>
    <cellStyle name="Normal 8 3 5 4 3" xfId="5960"/>
    <cellStyle name="Normal 8 3 5 5" xfId="2024"/>
    <cellStyle name="Normal 8 3 5 5 2" xfId="3119"/>
    <cellStyle name="Normal 8 3 5 5 2 2" xfId="6528"/>
    <cellStyle name="Normal 8 3 5 5 3" xfId="5530"/>
    <cellStyle name="Normal 8 3 5 6" xfId="1745"/>
    <cellStyle name="Normal 8 3 5 6 2" xfId="5255"/>
    <cellStyle name="Normal 8 3 5 7" xfId="2844"/>
    <cellStyle name="Normal 8 3 5 7 2" xfId="6253"/>
    <cellStyle name="Normal 8 3 5 8" xfId="3835"/>
    <cellStyle name="Normal 8 3 6" xfId="1202"/>
    <cellStyle name="Normal 8 3 6 2" xfId="2126"/>
    <cellStyle name="Normal 8 3 6 2 2" xfId="3216"/>
    <cellStyle name="Normal 8 3 6 2 2 2" xfId="6625"/>
    <cellStyle name="Normal 8 3 6 2 3" xfId="5627"/>
    <cellStyle name="Normal 8 3 6 3" xfId="2399"/>
    <cellStyle name="Normal 8 3 6 3 2" xfId="3486"/>
    <cellStyle name="Normal 8 3 6 3 2 2" xfId="6895"/>
    <cellStyle name="Normal 8 3 6 3 3" xfId="5897"/>
    <cellStyle name="Normal 8 3 6 4" xfId="1964"/>
    <cellStyle name="Normal 8 3 6 4 2" xfId="3059"/>
    <cellStyle name="Normal 8 3 6 4 2 2" xfId="6468"/>
    <cellStyle name="Normal 8 3 6 4 3" xfId="5470"/>
    <cellStyle name="Normal 8 3 6 5" xfId="1681"/>
    <cellStyle name="Normal 8 3 6 5 2" xfId="5192"/>
    <cellStyle name="Normal 8 3 6 6" xfId="2779"/>
    <cellStyle name="Normal 8 3 6 6 2" xfId="6190"/>
    <cellStyle name="Normal 8 3 6 7" xfId="3775"/>
    <cellStyle name="Normal 8 3 7" xfId="1199"/>
    <cellStyle name="Normal 8 3 7 2" xfId="2125"/>
    <cellStyle name="Normal 8 3 7 2 2" xfId="3215"/>
    <cellStyle name="Normal 8 3 7 2 2 2" xfId="6624"/>
    <cellStyle name="Normal 8 3 7 2 3" xfId="5626"/>
    <cellStyle name="Normal 8 3 7 3" xfId="2398"/>
    <cellStyle name="Normal 8 3 7 3 2" xfId="3485"/>
    <cellStyle name="Normal 8 3 7 3 2 2" xfId="6894"/>
    <cellStyle name="Normal 8 3 7 3 3" xfId="5896"/>
    <cellStyle name="Normal 8 3 7 4" xfId="1919"/>
    <cellStyle name="Normal 8 3 7 4 2" xfId="3014"/>
    <cellStyle name="Normal 8 3 7 4 2 2" xfId="6423"/>
    <cellStyle name="Normal 8 3 7 4 3" xfId="5425"/>
    <cellStyle name="Normal 8 3 7 5" xfId="1680"/>
    <cellStyle name="Normal 8 3 7 5 2" xfId="5191"/>
    <cellStyle name="Normal 8 3 7 6" xfId="2778"/>
    <cellStyle name="Normal 8 3 7 6 2" xfId="6189"/>
    <cellStyle name="Normal 8 3 7 7" xfId="3730"/>
    <cellStyle name="Normal 8 3 8" xfId="1475"/>
    <cellStyle name="Normal 8 3 8 2" xfId="2514"/>
    <cellStyle name="Normal 8 3 8 2 2" xfId="3599"/>
    <cellStyle name="Normal 8 3 8 2 2 2" xfId="7008"/>
    <cellStyle name="Normal 8 3 8 2 3" xfId="6010"/>
    <cellStyle name="Normal 8 3 8 3" xfId="2239"/>
    <cellStyle name="Normal 8 3 8 3 2" xfId="3329"/>
    <cellStyle name="Normal 8 3 8 3 2 2" xfId="6738"/>
    <cellStyle name="Normal 8 3 8 3 3" xfId="5740"/>
    <cellStyle name="Normal 8 3 8 4" xfId="1795"/>
    <cellStyle name="Normal 8 3 8 4 2" xfId="5305"/>
    <cellStyle name="Normal 8 3 8 5" xfId="2894"/>
    <cellStyle name="Normal 8 3 8 5 2" xfId="6303"/>
    <cellStyle name="Normal 8 3 8 6" xfId="5005"/>
    <cellStyle name="Normal 8 3 9" xfId="2072"/>
    <cellStyle name="Normal 8 3 9 2" xfId="3164"/>
    <cellStyle name="Normal 8 3 9 2 2" xfId="6573"/>
    <cellStyle name="Normal 8 3 9 3" xfId="5575"/>
    <cellStyle name="Normal 8 4" xfId="4205"/>
    <cellStyle name="Normal 8 5" xfId="4206"/>
    <cellStyle name="Normal 8 5 2" xfId="4304"/>
    <cellStyle name="Normal 8 5 2 2" xfId="4545"/>
    <cellStyle name="Normal 8 5 3" xfId="4546"/>
    <cellStyle name="Normal 8 6" xfId="4207"/>
    <cellStyle name="Normal 8 6 2" xfId="4547"/>
    <cellStyle name="Normal 8 7" xfId="4548"/>
    <cellStyle name="Normal 80" xfId="1592"/>
    <cellStyle name="Normal 81" xfId="2612"/>
    <cellStyle name="Normal 82" xfId="2616"/>
    <cellStyle name="Normal 83" xfId="1700"/>
    <cellStyle name="Normal 84" xfId="1590"/>
    <cellStyle name="Normal 85" xfId="1588"/>
    <cellStyle name="Normal 86" xfId="1591"/>
    <cellStyle name="Normal 87" xfId="2618"/>
    <cellStyle name="Normal 88" xfId="2622"/>
    <cellStyle name="Normal 89" xfId="2741"/>
    <cellStyle name="Normal 9" xfId="737"/>
    <cellStyle name="Normal 9 2" xfId="4208"/>
    <cellStyle name="Normal 90" xfId="2783"/>
    <cellStyle name="Normal 91" xfId="2724"/>
    <cellStyle name="Normal 92" xfId="3695"/>
    <cellStyle name="Normal 93" xfId="3694"/>
    <cellStyle name="Normal 94" xfId="2642"/>
    <cellStyle name="Normal 95" xfId="3697"/>
    <cellStyle name="Normal 96" xfId="3691"/>
    <cellStyle name="Normal 97" xfId="3692"/>
    <cellStyle name="Normal 98" xfId="2620"/>
    <cellStyle name="Normal 99" xfId="3698"/>
    <cellStyle name="Normal space" xfId="7149"/>
    <cellStyle name="Normál_Info meeting" xfId="867"/>
    <cellStyle name="Normale_Foglio1" xfId="868"/>
    <cellStyle name="Note" xfId="209"/>
    <cellStyle name="Note 2" xfId="210"/>
    <cellStyle name="Note 2 2" xfId="738"/>
    <cellStyle name="Note 2 2 2" xfId="4106"/>
    <cellStyle name="Note 2 2 2 2" xfId="4305"/>
    <cellStyle name="Note 2 2 2 2 2" xfId="4549"/>
    <cellStyle name="Note 2 2 2 3" xfId="4550"/>
    <cellStyle name="Note 2 2 3" xfId="4209"/>
    <cellStyle name="Note 2 2 3 2" xfId="4306"/>
    <cellStyle name="Note 2 2 3 2 2" xfId="4551"/>
    <cellStyle name="Note 2 2 3 3" xfId="4552"/>
    <cellStyle name="Note 2 2 4" xfId="4553"/>
    <cellStyle name="Note 2 3" xfId="1084"/>
    <cellStyle name="Note 2 3 2" xfId="4107"/>
    <cellStyle name="Note 2 4" xfId="1000"/>
    <cellStyle name="Note 2 4 2" xfId="4554"/>
    <cellStyle name="Note 2 5" xfId="1268"/>
    <cellStyle name="Note 2 6" xfId="1161"/>
    <cellStyle name="Note 2 7" xfId="2685"/>
    <cellStyle name="Note 2 8" xfId="3951"/>
    <cellStyle name="Note 3" xfId="533"/>
    <cellStyle name="Note 3 10" xfId="2345"/>
    <cellStyle name="Note 3 10 2" xfId="3433"/>
    <cellStyle name="Note 3 10 2 2" xfId="6842"/>
    <cellStyle name="Note 3 10 3" xfId="5844"/>
    <cellStyle name="Note 3 11" xfId="1902"/>
    <cellStyle name="Note 3 11 2" xfId="2998"/>
    <cellStyle name="Note 3 11 2 2" xfId="6407"/>
    <cellStyle name="Note 3 11 3" xfId="5409"/>
    <cellStyle name="Note 3 12" xfId="1626"/>
    <cellStyle name="Note 3 12 2" xfId="2721"/>
    <cellStyle name="Note 3 12 2 2" xfId="6137"/>
    <cellStyle name="Note 3 12 3" xfId="5139"/>
    <cellStyle name="Note 3 13" xfId="1583"/>
    <cellStyle name="Note 3 13 2" xfId="5109"/>
    <cellStyle name="Note 3 14" xfId="2635"/>
    <cellStyle name="Note 3 14 2" xfId="6114"/>
    <cellStyle name="Note 3 15" xfId="3714"/>
    <cellStyle name="Note 3 16" xfId="3952"/>
    <cellStyle name="Note 3 2" xfId="1123"/>
    <cellStyle name="Note 3 2 10" xfId="2755"/>
    <cellStyle name="Note 3 2 10 2" xfId="6167"/>
    <cellStyle name="Note 3 2 11" xfId="3759"/>
    <cellStyle name="Note 3 2 2" xfId="1413"/>
    <cellStyle name="Note 3 2 2 2" xfId="1564"/>
    <cellStyle name="Note 3 2 2 2 2" xfId="2603"/>
    <cellStyle name="Note 3 2 2 2 2 2" xfId="3688"/>
    <cellStyle name="Note 3 2 2 2 2 2 2" xfId="7097"/>
    <cellStyle name="Note 3 2 2 2 2 3" xfId="6099"/>
    <cellStyle name="Note 3 2 2 2 3" xfId="2328"/>
    <cellStyle name="Note 3 2 2 2 3 2" xfId="3418"/>
    <cellStyle name="Note 3 2 2 2 3 2 2" xfId="6827"/>
    <cellStyle name="Note 3 2 2 2 3 3" xfId="5829"/>
    <cellStyle name="Note 3 2 2 2 4" xfId="1884"/>
    <cellStyle name="Note 3 2 2 2 4 2" xfId="5394"/>
    <cellStyle name="Note 3 2 2 2 5" xfId="2983"/>
    <cellStyle name="Note 3 2 2 2 5 2" xfId="6392"/>
    <cellStyle name="Note 3 2 2 2 6" xfId="5094"/>
    <cellStyle name="Note 3 2 2 3" xfId="2218"/>
    <cellStyle name="Note 3 2 2 3 2" xfId="3308"/>
    <cellStyle name="Note 3 2 2 3 2 2" xfId="6717"/>
    <cellStyle name="Note 3 2 2 3 3" xfId="5719"/>
    <cellStyle name="Note 3 2 2 4" xfId="2493"/>
    <cellStyle name="Note 3 2 2 4 2" xfId="3578"/>
    <cellStyle name="Note 3 2 2 4 2 2" xfId="6987"/>
    <cellStyle name="Note 3 2 2 4 3" xfId="5989"/>
    <cellStyle name="Note 3 2 2 5" xfId="2053"/>
    <cellStyle name="Note 3 2 2 5 2" xfId="3148"/>
    <cellStyle name="Note 3 2 2 5 2 2" xfId="6557"/>
    <cellStyle name="Note 3 2 2 5 3" xfId="5559"/>
    <cellStyle name="Note 3 2 2 6" xfId="1774"/>
    <cellStyle name="Note 3 2 2 6 2" xfId="5284"/>
    <cellStyle name="Note 3 2 2 7" xfId="2873"/>
    <cellStyle name="Note 3 2 2 7 2" xfId="6282"/>
    <cellStyle name="Note 3 2 2 8" xfId="3864"/>
    <cellStyle name="Note 3 2 3" xfId="1356"/>
    <cellStyle name="Note 3 2 3 2" xfId="2173"/>
    <cellStyle name="Note 3 2 3 2 2" xfId="3263"/>
    <cellStyle name="Note 3 2 3 2 2 2" xfId="6672"/>
    <cellStyle name="Note 3 2 3 2 3" xfId="5674"/>
    <cellStyle name="Note 3 2 3 3" xfId="2448"/>
    <cellStyle name="Note 3 2 3 3 2" xfId="3533"/>
    <cellStyle name="Note 3 2 3 3 2 2" xfId="6942"/>
    <cellStyle name="Note 3 2 3 3 3" xfId="5944"/>
    <cellStyle name="Note 3 2 3 4" xfId="2008"/>
    <cellStyle name="Note 3 2 3 4 2" xfId="3103"/>
    <cellStyle name="Note 3 2 3 4 2 2" xfId="6512"/>
    <cellStyle name="Note 3 2 3 4 3" xfId="5514"/>
    <cellStyle name="Note 3 2 3 5" xfId="1729"/>
    <cellStyle name="Note 3 2 3 5 2" xfId="5239"/>
    <cellStyle name="Note 3 2 3 6" xfId="2828"/>
    <cellStyle name="Note 3 2 3 6 2" xfId="6237"/>
    <cellStyle name="Note 3 2 3 7" xfId="3819"/>
    <cellStyle name="Note 3 2 4" xfId="1504"/>
    <cellStyle name="Note 3 2 4 2" xfId="2543"/>
    <cellStyle name="Note 3 2 4 2 2" xfId="3628"/>
    <cellStyle name="Note 3 2 4 2 2 2" xfId="7037"/>
    <cellStyle name="Note 3 2 4 2 3" xfId="6039"/>
    <cellStyle name="Note 3 2 4 3" xfId="2268"/>
    <cellStyle name="Note 3 2 4 3 2" xfId="3358"/>
    <cellStyle name="Note 3 2 4 3 2 2" xfId="6767"/>
    <cellStyle name="Note 3 2 4 3 3" xfId="5769"/>
    <cellStyle name="Note 3 2 4 4" xfId="1824"/>
    <cellStyle name="Note 3 2 4 4 2" xfId="5334"/>
    <cellStyle name="Note 3 2 4 5" xfId="2923"/>
    <cellStyle name="Note 3 2 4 5 2" xfId="6332"/>
    <cellStyle name="Note 3 2 4 6" xfId="5034"/>
    <cellStyle name="Note 3 2 5" xfId="2103"/>
    <cellStyle name="Note 3 2 5 2" xfId="3193"/>
    <cellStyle name="Note 3 2 5 2 2" xfId="6602"/>
    <cellStyle name="Note 3 2 5 3" xfId="5604"/>
    <cellStyle name="Note 3 2 6" xfId="2376"/>
    <cellStyle name="Note 3 2 6 2" xfId="3463"/>
    <cellStyle name="Note 3 2 6 2 2" xfId="6872"/>
    <cellStyle name="Note 3 2 6 3" xfId="5874"/>
    <cellStyle name="Note 3 2 7" xfId="1948"/>
    <cellStyle name="Note 3 2 7 2" xfId="3043"/>
    <cellStyle name="Note 3 2 7 2 2" xfId="6452"/>
    <cellStyle name="Note 3 2 7 3" xfId="5454"/>
    <cellStyle name="Note 3 2 8" xfId="1657"/>
    <cellStyle name="Note 3 2 8 2" xfId="5169"/>
    <cellStyle name="Note 3 2 9" xfId="1605"/>
    <cellStyle name="Note 3 2 9 2" xfId="5124"/>
    <cellStyle name="Note 3 3" xfId="1037"/>
    <cellStyle name="Note 3 3 10" xfId="3744"/>
    <cellStyle name="Note 3 3 2" xfId="1398"/>
    <cellStyle name="Note 3 3 2 2" xfId="1549"/>
    <cellStyle name="Note 3 3 2 2 2" xfId="2588"/>
    <cellStyle name="Note 3 3 2 2 2 2" xfId="3673"/>
    <cellStyle name="Note 3 3 2 2 2 2 2" xfId="7082"/>
    <cellStyle name="Note 3 3 2 2 2 3" xfId="6084"/>
    <cellStyle name="Note 3 3 2 2 3" xfId="2313"/>
    <cellStyle name="Note 3 3 2 2 3 2" xfId="3403"/>
    <cellStyle name="Note 3 3 2 2 3 2 2" xfId="6812"/>
    <cellStyle name="Note 3 3 2 2 3 3" xfId="5814"/>
    <cellStyle name="Note 3 3 2 2 4" xfId="1869"/>
    <cellStyle name="Note 3 3 2 2 4 2" xfId="5379"/>
    <cellStyle name="Note 3 3 2 2 5" xfId="2968"/>
    <cellStyle name="Note 3 3 2 2 5 2" xfId="6377"/>
    <cellStyle name="Note 3 3 2 2 6" xfId="5079"/>
    <cellStyle name="Note 3 3 2 3" xfId="2203"/>
    <cellStyle name="Note 3 3 2 3 2" xfId="3293"/>
    <cellStyle name="Note 3 3 2 3 2 2" xfId="6702"/>
    <cellStyle name="Note 3 3 2 3 3" xfId="5704"/>
    <cellStyle name="Note 3 3 2 4" xfId="2478"/>
    <cellStyle name="Note 3 3 2 4 2" xfId="3563"/>
    <cellStyle name="Note 3 3 2 4 2 2" xfId="6972"/>
    <cellStyle name="Note 3 3 2 4 3" xfId="5974"/>
    <cellStyle name="Note 3 3 2 5" xfId="2038"/>
    <cellStyle name="Note 3 3 2 5 2" xfId="3133"/>
    <cellStyle name="Note 3 3 2 5 2 2" xfId="6542"/>
    <cellStyle name="Note 3 3 2 5 3" xfId="5544"/>
    <cellStyle name="Note 3 3 2 6" xfId="1759"/>
    <cellStyle name="Note 3 3 2 6 2" xfId="5269"/>
    <cellStyle name="Note 3 3 2 7" xfId="2858"/>
    <cellStyle name="Note 3 3 2 7 2" xfId="6267"/>
    <cellStyle name="Note 3 3 2 8" xfId="3849"/>
    <cellStyle name="Note 3 3 3" xfId="1330"/>
    <cellStyle name="Note 3 3 3 2" xfId="2157"/>
    <cellStyle name="Note 3 3 3 2 2" xfId="3247"/>
    <cellStyle name="Note 3 3 3 2 2 2" xfId="6656"/>
    <cellStyle name="Note 3 3 3 2 3" xfId="5658"/>
    <cellStyle name="Note 3 3 3 3" xfId="2432"/>
    <cellStyle name="Note 3 3 3 3 2" xfId="3517"/>
    <cellStyle name="Note 3 3 3 3 2 2" xfId="6926"/>
    <cellStyle name="Note 3 3 3 3 3" xfId="5928"/>
    <cellStyle name="Note 3 3 3 4" xfId="1993"/>
    <cellStyle name="Note 3 3 3 4 2" xfId="3088"/>
    <cellStyle name="Note 3 3 3 4 2 2" xfId="6497"/>
    <cellStyle name="Note 3 3 3 4 3" xfId="5499"/>
    <cellStyle name="Note 3 3 3 5" xfId="1713"/>
    <cellStyle name="Note 3 3 3 5 2" xfId="5223"/>
    <cellStyle name="Note 3 3 3 6" xfId="2812"/>
    <cellStyle name="Note 3 3 3 6 2" xfId="6221"/>
    <cellStyle name="Note 3 3 3 7" xfId="3804"/>
    <cellStyle name="Note 3 3 4" xfId="1489"/>
    <cellStyle name="Note 3 3 4 2" xfId="2528"/>
    <cellStyle name="Note 3 3 4 2 2" xfId="3613"/>
    <cellStyle name="Note 3 3 4 2 2 2" xfId="7022"/>
    <cellStyle name="Note 3 3 4 2 3" xfId="6024"/>
    <cellStyle name="Note 3 3 4 3" xfId="2253"/>
    <cellStyle name="Note 3 3 4 3 2" xfId="3343"/>
    <cellStyle name="Note 3 3 4 3 2 2" xfId="6752"/>
    <cellStyle name="Note 3 3 4 3 3" xfId="5754"/>
    <cellStyle name="Note 3 3 4 4" xfId="1809"/>
    <cellStyle name="Note 3 3 4 4 2" xfId="5319"/>
    <cellStyle name="Note 3 3 4 5" xfId="2908"/>
    <cellStyle name="Note 3 3 4 5 2" xfId="6317"/>
    <cellStyle name="Note 3 3 4 6" xfId="5019"/>
    <cellStyle name="Note 3 3 5" xfId="2087"/>
    <cellStyle name="Note 3 3 5 2" xfId="3178"/>
    <cellStyle name="Note 3 3 5 2 2" xfId="6587"/>
    <cellStyle name="Note 3 3 5 3" xfId="5589"/>
    <cellStyle name="Note 3 3 6" xfId="2361"/>
    <cellStyle name="Note 3 3 6 2" xfId="3448"/>
    <cellStyle name="Note 3 3 6 2 2" xfId="6857"/>
    <cellStyle name="Note 3 3 6 3" xfId="5859"/>
    <cellStyle name="Note 3 3 7" xfId="1933"/>
    <cellStyle name="Note 3 3 7 2" xfId="3028"/>
    <cellStyle name="Note 3 3 7 2 2" xfId="6437"/>
    <cellStyle name="Note 3 3 7 3" xfId="5439"/>
    <cellStyle name="Note 3 3 8" xfId="1642"/>
    <cellStyle name="Note 3 3 8 2" xfId="5154"/>
    <cellStyle name="Note 3 3 9" xfId="2737"/>
    <cellStyle name="Note 3 3 9 2" xfId="6152"/>
    <cellStyle name="Note 3 4" xfId="1305"/>
    <cellStyle name="Note 3 4 2" xfId="1519"/>
    <cellStyle name="Note 3 4 2 2" xfId="2558"/>
    <cellStyle name="Note 3 4 2 2 2" xfId="3643"/>
    <cellStyle name="Note 3 4 2 2 2 2" xfId="7052"/>
    <cellStyle name="Note 3 4 2 2 3" xfId="6054"/>
    <cellStyle name="Note 3 4 2 3" xfId="2283"/>
    <cellStyle name="Note 3 4 2 3 2" xfId="3373"/>
    <cellStyle name="Note 3 4 2 3 2 2" xfId="6782"/>
    <cellStyle name="Note 3 4 2 3 3" xfId="5784"/>
    <cellStyle name="Note 3 4 2 4" xfId="1839"/>
    <cellStyle name="Note 3 4 2 4 2" xfId="5349"/>
    <cellStyle name="Note 3 4 2 5" xfId="2938"/>
    <cellStyle name="Note 3 4 2 5 2" xfId="6347"/>
    <cellStyle name="Note 3 4 2 6" xfId="5049"/>
    <cellStyle name="Note 3 4 3" xfId="2142"/>
    <cellStyle name="Note 3 4 3 2" xfId="3232"/>
    <cellStyle name="Note 3 4 3 2 2" xfId="6641"/>
    <cellStyle name="Note 3 4 3 3" xfId="5643"/>
    <cellStyle name="Note 3 4 4" xfId="2417"/>
    <cellStyle name="Note 3 4 4 2" xfId="3502"/>
    <cellStyle name="Note 3 4 4 2 2" xfId="6911"/>
    <cellStyle name="Note 3 4 4 3" xfId="5913"/>
    <cellStyle name="Note 3 4 5" xfId="1978"/>
    <cellStyle name="Note 3 4 5 2" xfId="3073"/>
    <cellStyle name="Note 3 4 5 2 2" xfId="6482"/>
    <cellStyle name="Note 3 4 5 3" xfId="5484"/>
    <cellStyle name="Note 3 4 6" xfId="1697"/>
    <cellStyle name="Note 3 4 6 2" xfId="5208"/>
    <cellStyle name="Note 3 4 7" xfId="2796"/>
    <cellStyle name="Note 3 4 7 2" xfId="6206"/>
    <cellStyle name="Note 3 4 8" xfId="3789"/>
    <cellStyle name="Note 3 5" xfId="1377"/>
    <cellStyle name="Note 3 5 2" xfId="1534"/>
    <cellStyle name="Note 3 5 2 2" xfId="2573"/>
    <cellStyle name="Note 3 5 2 2 2" xfId="3658"/>
    <cellStyle name="Note 3 5 2 2 2 2" xfId="7067"/>
    <cellStyle name="Note 3 5 2 2 3" xfId="6069"/>
    <cellStyle name="Note 3 5 2 3" xfId="2298"/>
    <cellStyle name="Note 3 5 2 3 2" xfId="3388"/>
    <cellStyle name="Note 3 5 2 3 2 2" xfId="6797"/>
    <cellStyle name="Note 3 5 2 3 3" xfId="5799"/>
    <cellStyle name="Note 3 5 2 4" xfId="1854"/>
    <cellStyle name="Note 3 5 2 4 2" xfId="5364"/>
    <cellStyle name="Note 3 5 2 5" xfId="2953"/>
    <cellStyle name="Note 3 5 2 5 2" xfId="6362"/>
    <cellStyle name="Note 3 5 2 6" xfId="5064"/>
    <cellStyle name="Note 3 5 3" xfId="2188"/>
    <cellStyle name="Note 3 5 3 2" xfId="3278"/>
    <cellStyle name="Note 3 5 3 2 2" xfId="6687"/>
    <cellStyle name="Note 3 5 3 3" xfId="5689"/>
    <cellStyle name="Note 3 5 4" xfId="2463"/>
    <cellStyle name="Note 3 5 4 2" xfId="3548"/>
    <cellStyle name="Note 3 5 4 2 2" xfId="6957"/>
    <cellStyle name="Note 3 5 4 3" xfId="5959"/>
    <cellStyle name="Note 3 5 5" xfId="2023"/>
    <cellStyle name="Note 3 5 5 2" xfId="3118"/>
    <cellStyle name="Note 3 5 5 2 2" xfId="6527"/>
    <cellStyle name="Note 3 5 5 3" xfId="5529"/>
    <cellStyle name="Note 3 5 6" xfId="1744"/>
    <cellStyle name="Note 3 5 6 2" xfId="5254"/>
    <cellStyle name="Note 3 5 7" xfId="2843"/>
    <cellStyle name="Note 3 5 7 2" xfId="6252"/>
    <cellStyle name="Note 3 5 8" xfId="3834"/>
    <cellStyle name="Note 3 6" xfId="1175"/>
    <cellStyle name="Note 3 6 2" xfId="2120"/>
    <cellStyle name="Note 3 6 2 2" xfId="3210"/>
    <cellStyle name="Note 3 6 2 2 2" xfId="6619"/>
    <cellStyle name="Note 3 6 2 3" xfId="5621"/>
    <cellStyle name="Note 3 6 3" xfId="2393"/>
    <cellStyle name="Note 3 6 3 2" xfId="3480"/>
    <cellStyle name="Note 3 6 3 2 2" xfId="6889"/>
    <cellStyle name="Note 3 6 3 3" xfId="5891"/>
    <cellStyle name="Note 3 6 4" xfId="1963"/>
    <cellStyle name="Note 3 6 4 2" xfId="3058"/>
    <cellStyle name="Note 3 6 4 2 2" xfId="6467"/>
    <cellStyle name="Note 3 6 4 3" xfId="5469"/>
    <cellStyle name="Note 3 6 5" xfId="1675"/>
    <cellStyle name="Note 3 6 5 2" xfId="5186"/>
    <cellStyle name="Note 3 6 6" xfId="2773"/>
    <cellStyle name="Note 3 6 6 2" xfId="6184"/>
    <cellStyle name="Note 3 6 7" xfId="3774"/>
    <cellStyle name="Note 3 7" xfId="1185"/>
    <cellStyle name="Note 3 7 2" xfId="2122"/>
    <cellStyle name="Note 3 7 2 2" xfId="3212"/>
    <cellStyle name="Note 3 7 2 2 2" xfId="6621"/>
    <cellStyle name="Note 3 7 2 3" xfId="5623"/>
    <cellStyle name="Note 3 7 3" xfId="2395"/>
    <cellStyle name="Note 3 7 3 2" xfId="3482"/>
    <cellStyle name="Note 3 7 3 2 2" xfId="6891"/>
    <cellStyle name="Note 3 7 3 3" xfId="5893"/>
    <cellStyle name="Note 3 7 4" xfId="1918"/>
    <cellStyle name="Note 3 7 4 2" xfId="3013"/>
    <cellStyle name="Note 3 7 4 2 2" xfId="6422"/>
    <cellStyle name="Note 3 7 4 3" xfId="5424"/>
    <cellStyle name="Note 3 7 5" xfId="1677"/>
    <cellStyle name="Note 3 7 5 2" xfId="5188"/>
    <cellStyle name="Note 3 7 6" xfId="2775"/>
    <cellStyle name="Note 3 7 6 2" xfId="6186"/>
    <cellStyle name="Note 3 7 7" xfId="3729"/>
    <cellStyle name="Note 3 8" xfId="1474"/>
    <cellStyle name="Note 3 8 2" xfId="2513"/>
    <cellStyle name="Note 3 8 2 2" xfId="3598"/>
    <cellStyle name="Note 3 8 2 2 2" xfId="7007"/>
    <cellStyle name="Note 3 8 2 3" xfId="6009"/>
    <cellStyle name="Note 3 8 3" xfId="2238"/>
    <cellStyle name="Note 3 8 3 2" xfId="3328"/>
    <cellStyle name="Note 3 8 3 2 2" xfId="6737"/>
    <cellStyle name="Note 3 8 3 3" xfId="5739"/>
    <cellStyle name="Note 3 8 4" xfId="1794"/>
    <cellStyle name="Note 3 8 4 2" xfId="5304"/>
    <cellStyle name="Note 3 8 5" xfId="2893"/>
    <cellStyle name="Note 3 8 5 2" xfId="6302"/>
    <cellStyle name="Note 3 8 6" xfId="5004"/>
    <cellStyle name="Note 3 9" xfId="2071"/>
    <cellStyle name="Note 3 9 2" xfId="3163"/>
    <cellStyle name="Note 3 9 2 2" xfId="6572"/>
    <cellStyle name="Note 3 9 3" xfId="5574"/>
    <cellStyle name="Note 4" xfId="739"/>
    <cellStyle name="Notiz 2" xfId="211"/>
    <cellStyle name="Number" xfId="65"/>
    <cellStyle name="Output" xfId="212"/>
    <cellStyle name="Output 2" xfId="447"/>
    <cellStyle name="Output 2 2" xfId="740"/>
    <cellStyle name="Output 2 2 2" xfId="4108"/>
    <cellStyle name="Output 2 3" xfId="4109"/>
    <cellStyle name="Output 2 4" xfId="4555"/>
    <cellStyle name="Output 2 5" xfId="3953"/>
    <cellStyle name="Output 3" xfId="741"/>
    <cellStyle name="Output 4" xfId="742"/>
    <cellStyle name="Output 5" xfId="501"/>
    <cellStyle name="P" xfId="66"/>
    <cellStyle name="Percent" xfId="230" builtinId="5"/>
    <cellStyle name="Percent [2]" xfId="68"/>
    <cellStyle name="Percent [2] 2" xfId="449"/>
    <cellStyle name="Percent [2] 2 2" xfId="1085"/>
    <cellStyle name="Percent [2] 2 3" xfId="1001"/>
    <cellStyle name="Percent [2] 2 4" xfId="1269"/>
    <cellStyle name="Percent [2] 2 5" xfId="1178"/>
    <cellStyle name="Percent [2] 2 6" xfId="2686"/>
    <cellStyle name="Percent [2] 2 7" xfId="3973"/>
    <cellStyle name="Percent 10" xfId="450"/>
    <cellStyle name="Percent 10 2" xfId="1086"/>
    <cellStyle name="Percent 10 3" xfId="1002"/>
    <cellStyle name="Percent 10 4" xfId="1270"/>
    <cellStyle name="Percent 10 5" xfId="1312"/>
    <cellStyle name="Percent 10 6" xfId="2687"/>
    <cellStyle name="Percent 11" xfId="448"/>
    <cellStyle name="Percent 12" xfId="7123"/>
    <cellStyle name="Percent 13" xfId="7156"/>
    <cellStyle name="Percent 2" xfId="248"/>
    <cellStyle name="Percent 2 2" xfId="314"/>
    <cellStyle name="Percent 2 2 2" xfId="4110"/>
    <cellStyle name="Percent 2 3" xfId="301"/>
    <cellStyle name="Percent 2 4" xfId="451"/>
    <cellStyle name="Percent 3" xfId="452"/>
    <cellStyle name="Percent 3 2" xfId="869"/>
    <cellStyle name="Percent 3 3" xfId="1087"/>
    <cellStyle name="Percent 3 4" xfId="1003"/>
    <cellStyle name="Percent 3 5" xfId="1271"/>
    <cellStyle name="Percent 3 6" xfId="1338"/>
    <cellStyle name="Percent 3 7" xfId="2688"/>
    <cellStyle name="Percent 4" xfId="453"/>
    <cellStyle name="Percent 4 2" xfId="1088"/>
    <cellStyle name="Percent 4 3" xfId="1004"/>
    <cellStyle name="Percent 4 4" xfId="1272"/>
    <cellStyle name="Percent 4 5" xfId="1192"/>
    <cellStyle name="Percent 4 6" xfId="2689"/>
    <cellStyle name="Percent 4 7" xfId="3974"/>
    <cellStyle name="Percent 5" xfId="454"/>
    <cellStyle name="Percent 5 2" xfId="1089"/>
    <cellStyle name="Percent 5 3" xfId="1005"/>
    <cellStyle name="Percent 5 4" xfId="1273"/>
    <cellStyle name="Percent 5 5" xfId="1215"/>
    <cellStyle name="Percent 5 6" xfId="2690"/>
    <cellStyle name="Percent 5 7" xfId="3975"/>
    <cellStyle name="Percent 6" xfId="455"/>
    <cellStyle name="Percent 6 2" xfId="1090"/>
    <cellStyle name="Percent 6 3" xfId="1006"/>
    <cellStyle name="Percent 6 4" xfId="1274"/>
    <cellStyle name="Percent 6 5" xfId="1191"/>
    <cellStyle name="Percent 6 6" xfId="2691"/>
    <cellStyle name="Percent 7" xfId="456"/>
    <cellStyle name="Percent 7 2" xfId="1091"/>
    <cellStyle name="Percent 7 3" xfId="1007"/>
    <cellStyle name="Percent 7 4" xfId="1275"/>
    <cellStyle name="Percent 7 5" xfId="1158"/>
    <cellStyle name="Percent 7 6" xfId="2692"/>
    <cellStyle name="Percent 8" xfId="457"/>
    <cellStyle name="Percent 8 2" xfId="1092"/>
    <cellStyle name="Percent 8 3" xfId="1008"/>
    <cellStyle name="Percent 8 4" xfId="1276"/>
    <cellStyle name="Percent 8 5" xfId="1435"/>
    <cellStyle name="Percent 8 6" xfId="2693"/>
    <cellStyle name="Percent 9" xfId="458"/>
    <cellStyle name="Percent 9 2" xfId="1093"/>
    <cellStyle name="Percent 9 3" xfId="1009"/>
    <cellStyle name="Percent 9 4" xfId="1277"/>
    <cellStyle name="Percent 9 5" xfId="1183"/>
    <cellStyle name="Percent 9 6" xfId="2694"/>
    <cellStyle name="Percent Black [0]" xfId="69"/>
    <cellStyle name="Percent Black [0] 2" xfId="244"/>
    <cellStyle name="Percent Black [0] 2 2" xfId="1094"/>
    <cellStyle name="Percent Black [0] 2 3" xfId="1010"/>
    <cellStyle name="Percent Black [0] 2 4" xfId="1278"/>
    <cellStyle name="Percent Black [0] 2 5" xfId="1446"/>
    <cellStyle name="Percent Black [0] 2 6" xfId="2695"/>
    <cellStyle name="Percent Black [0] 2 7" xfId="3976"/>
    <cellStyle name="Percent Black [0] 2 8" xfId="460"/>
    <cellStyle name="Percent Black [0] 3" xfId="459"/>
    <cellStyle name="Percent Black [1]" xfId="70"/>
    <cellStyle name="Percent Black [1] 2" xfId="245"/>
    <cellStyle name="Percent Black [1] 2 2" xfId="1095"/>
    <cellStyle name="Percent Black [1] 2 3" xfId="1011"/>
    <cellStyle name="Percent Black [1] 2 4" xfId="1279"/>
    <cellStyle name="Percent Black [1] 2 5" xfId="1179"/>
    <cellStyle name="Percent Black [1] 2 6" xfId="2696"/>
    <cellStyle name="Percent Black [1] 2 7" xfId="3977"/>
    <cellStyle name="Percent Black [1] 2 8" xfId="462"/>
    <cellStyle name="Percent Black [1] 3" xfId="461"/>
    <cellStyle name="Percent Black [2]" xfId="71"/>
    <cellStyle name="Percent Black [2] 2" xfId="463"/>
    <cellStyle name="Percent Black [2] 2 2" xfId="1096"/>
    <cellStyle name="Percent Black [2] 2 3" xfId="1012"/>
    <cellStyle name="Percent Black [2] 2 4" xfId="1280"/>
    <cellStyle name="Percent Black [2] 2 5" xfId="1203"/>
    <cellStyle name="Percent Black [2] 2 6" xfId="2697"/>
    <cellStyle name="Percent Black [2] 2 7" xfId="3978"/>
    <cellStyle name="Percent Blue [0]" xfId="72"/>
    <cellStyle name="Percent Blue [0] 2" xfId="246"/>
    <cellStyle name="Percent Blue [0] 2 2" xfId="1097"/>
    <cellStyle name="Percent Blue [0] 2 3" xfId="1013"/>
    <cellStyle name="Percent Blue [0] 2 4" xfId="1281"/>
    <cellStyle name="Percent Blue [0] 2 5" xfId="1143"/>
    <cellStyle name="Percent Blue [0] 2 6" xfId="2698"/>
    <cellStyle name="Percent Blue [0] 2 7" xfId="3979"/>
    <cellStyle name="Percent Blue [0] 2 8" xfId="465"/>
    <cellStyle name="Percent Blue [0] 3" xfId="464"/>
    <cellStyle name="Percent Blue [1]" xfId="73"/>
    <cellStyle name="Percent Blue [1] 2" xfId="247"/>
    <cellStyle name="Percent Blue [1] 2 2" xfId="1098"/>
    <cellStyle name="Percent Blue [1] 2 3" xfId="1014"/>
    <cellStyle name="Percent Blue [1] 2 4" xfId="1282"/>
    <cellStyle name="Percent Blue [1] 2 5" xfId="1311"/>
    <cellStyle name="Percent Blue [1] 2 6" xfId="2699"/>
    <cellStyle name="Percent Blue [1] 2 7" xfId="3980"/>
    <cellStyle name="Percent Blue [1] 2 8" xfId="467"/>
    <cellStyle name="Percent Blue [1] 3" xfId="466"/>
    <cellStyle name="Percent Blue [2]" xfId="74"/>
    <cellStyle name="Percent Blue [2] 2" xfId="468"/>
    <cellStyle name="Percent Blue [2] 2 2" xfId="1099"/>
    <cellStyle name="Percent Blue [2] 2 3" xfId="1015"/>
    <cellStyle name="Percent Blue [2] 2 4" xfId="1283"/>
    <cellStyle name="Percent Blue [2] 2 5" xfId="1337"/>
    <cellStyle name="Percent Blue [2] 2 6" xfId="2700"/>
    <cellStyle name="Percent Blue [2] 2 7" xfId="3981"/>
    <cellStyle name="Protected" xfId="75"/>
    <cellStyle name="ProtectedDates" xfId="76"/>
    <cellStyle name="Prozent 2" xfId="213"/>
    <cellStyle name="Prozent 3" xfId="255"/>
    <cellStyle name="Prozent 4" xfId="273"/>
    <cellStyle name="Prozent 5" xfId="236"/>
    <cellStyle name="Prozent 6" xfId="235"/>
    <cellStyle name="Prozent 7" xfId="292"/>
    <cellStyle name="SAPBEXaggData" xfId="77"/>
    <cellStyle name="SAPBEXaggData 2" xfId="870"/>
    <cellStyle name="SAPBEXaggDataEmph" xfId="78"/>
    <cellStyle name="SAPBEXaggDataEmph 2" xfId="872"/>
    <cellStyle name="SAPBEXaggDataEmph 3" xfId="871"/>
    <cellStyle name="SAPBEXaggItem" xfId="79"/>
    <cellStyle name="SAPBEXaggItem 2" xfId="873"/>
    <cellStyle name="SAPBEXaggItemX" xfId="874"/>
    <cellStyle name="SAPBEXaggItemX 2" xfId="875"/>
    <cellStyle name="SAPBEXchaText" xfId="80"/>
    <cellStyle name="SAPBEXchaText 2" xfId="876"/>
    <cellStyle name="SAPBEXexcBad7" xfId="81"/>
    <cellStyle name="SAPBEXexcBad7 2" xfId="878"/>
    <cellStyle name="SAPBEXexcBad7 3" xfId="877"/>
    <cellStyle name="SAPBEXexcBad8" xfId="82"/>
    <cellStyle name="SAPBEXexcBad8 2" xfId="880"/>
    <cellStyle name="SAPBEXexcBad8 3" xfId="879"/>
    <cellStyle name="SAPBEXexcBad9" xfId="83"/>
    <cellStyle name="SAPBEXexcBad9 2" xfId="882"/>
    <cellStyle name="SAPBEXexcBad9 3" xfId="881"/>
    <cellStyle name="SAPBEXexcCritical4" xfId="84"/>
    <cellStyle name="SAPBEXexcCritical4 2" xfId="884"/>
    <cellStyle name="SAPBEXexcCritical4 3" xfId="883"/>
    <cellStyle name="SAPBEXexcCritical5" xfId="85"/>
    <cellStyle name="SAPBEXexcCritical5 2" xfId="886"/>
    <cellStyle name="SAPBEXexcCritical5 3" xfId="885"/>
    <cellStyle name="SAPBEXexcCritical6" xfId="86"/>
    <cellStyle name="SAPBEXexcCritical6 2" xfId="888"/>
    <cellStyle name="SAPBEXexcCritical6 3" xfId="887"/>
    <cellStyle name="SAPBEXexcGood1" xfId="87"/>
    <cellStyle name="SAPBEXexcGood1 2" xfId="890"/>
    <cellStyle name="SAPBEXexcGood1 3" xfId="889"/>
    <cellStyle name="SAPBEXexcGood2" xfId="88"/>
    <cellStyle name="SAPBEXexcGood2 2" xfId="892"/>
    <cellStyle name="SAPBEXexcGood2 3" xfId="891"/>
    <cellStyle name="SAPBEXexcGood3" xfId="89"/>
    <cellStyle name="SAPBEXexcGood3 2" xfId="894"/>
    <cellStyle name="SAPBEXexcGood3 3" xfId="893"/>
    <cellStyle name="SAPBEXfilterDrill" xfId="90"/>
    <cellStyle name="SAPBEXfilterDrill 2" xfId="895"/>
    <cellStyle name="SAPBEXfilterItem" xfId="91"/>
    <cellStyle name="SAPBEXfilterItem 2" xfId="896"/>
    <cellStyle name="SAPBEXfilterText" xfId="92"/>
    <cellStyle name="SAPBEXfilterText 2" xfId="898"/>
    <cellStyle name="SAPBEXfilterText 3" xfId="897"/>
    <cellStyle name="SAPBEXformats" xfId="93"/>
    <cellStyle name="SAPBEXformats 2" xfId="900"/>
    <cellStyle name="SAPBEXformats 3" xfId="899"/>
    <cellStyle name="SAPBEXheaderItem" xfId="94"/>
    <cellStyle name="SAPBEXheaderItem 2" xfId="902"/>
    <cellStyle name="SAPBEXheaderItem 3" xfId="901"/>
    <cellStyle name="SAPBEXheaderText" xfId="95"/>
    <cellStyle name="SAPBEXheaderText 2" xfId="904"/>
    <cellStyle name="SAPBEXheaderText 3" xfId="903"/>
    <cellStyle name="SAPBEXHLevel0" xfId="905"/>
    <cellStyle name="SAPBEXHLevel0 2" xfId="906"/>
    <cellStyle name="SAPBEXHLevel0 3" xfId="907"/>
    <cellStyle name="SAPBEXHLevel0X" xfId="908"/>
    <cellStyle name="SAPBEXHLevel0X 2" xfId="909"/>
    <cellStyle name="SAPBEXHLevel0X 3" xfId="910"/>
    <cellStyle name="SAPBEXHLevel1" xfId="911"/>
    <cellStyle name="SAPBEXHLevel1 2" xfId="912"/>
    <cellStyle name="SAPBEXHLevel1 3" xfId="913"/>
    <cellStyle name="SAPBEXHLevel1X" xfId="914"/>
    <cellStyle name="SAPBEXHLevel1X 2" xfId="915"/>
    <cellStyle name="SAPBEXHLevel1X 3" xfId="916"/>
    <cellStyle name="SAPBEXHLevel2" xfId="917"/>
    <cellStyle name="SAPBEXHLevel2 2" xfId="918"/>
    <cellStyle name="SAPBEXHLevel2 3" xfId="919"/>
    <cellStyle name="SAPBEXHLevel2X" xfId="920"/>
    <cellStyle name="SAPBEXHLevel2X 2" xfId="921"/>
    <cellStyle name="SAPBEXHLevel2X 3" xfId="922"/>
    <cellStyle name="SAPBEXHLevel3" xfId="923"/>
    <cellStyle name="SAPBEXHLevel3 2" xfId="924"/>
    <cellStyle name="SAPBEXHLevel3 3" xfId="925"/>
    <cellStyle name="SAPBEXHLevel3X" xfId="926"/>
    <cellStyle name="SAPBEXHLevel3X 2" xfId="927"/>
    <cellStyle name="SAPBEXHLevel3X 3" xfId="928"/>
    <cellStyle name="SAPBEXinputData" xfId="929"/>
    <cellStyle name="SAPBEXinputData 2" xfId="930"/>
    <cellStyle name="SAPBEXItemHeader" xfId="931"/>
    <cellStyle name="SAPBEXresData" xfId="96"/>
    <cellStyle name="SAPBEXresData 2" xfId="933"/>
    <cellStyle name="SAPBEXresData 3" xfId="932"/>
    <cellStyle name="SAPBEXresDataEmph" xfId="97"/>
    <cellStyle name="SAPBEXresDataEmph 2" xfId="935"/>
    <cellStyle name="SAPBEXresDataEmph 3" xfId="934"/>
    <cellStyle name="SAPBEXresItem" xfId="98"/>
    <cellStyle name="SAPBEXresItem 2" xfId="937"/>
    <cellStyle name="SAPBEXresItem 3" xfId="936"/>
    <cellStyle name="SAPBEXresItemX" xfId="938"/>
    <cellStyle name="SAPBEXresItemX 2" xfId="939"/>
    <cellStyle name="SAPBEXstdData" xfId="99"/>
    <cellStyle name="SAPBEXstdData 2" xfId="941"/>
    <cellStyle name="SAPBEXstdData 3" xfId="7132"/>
    <cellStyle name="SAPBEXstdData 4" xfId="940"/>
    <cellStyle name="SAPBEXstdDataEmph" xfId="100"/>
    <cellStyle name="SAPBEXstdDataEmph 2" xfId="943"/>
    <cellStyle name="SAPBEXstdDataEmph 3" xfId="942"/>
    <cellStyle name="SAPBEXstdItem" xfId="101"/>
    <cellStyle name="SAPBEXstdItem 2" xfId="944"/>
    <cellStyle name="SAPBEXstdItemX" xfId="945"/>
    <cellStyle name="SAPBEXstdItemX 2" xfId="946"/>
    <cellStyle name="SAPBEXtitle" xfId="102"/>
    <cellStyle name="SAPBEXtitle 2" xfId="947"/>
    <cellStyle name="SAPBEXunassignedItem" xfId="948"/>
    <cellStyle name="SAPBEXundefined" xfId="103"/>
    <cellStyle name="SAPBEXundefined 2" xfId="950"/>
    <cellStyle name="SAPBEXundefined 3" xfId="949"/>
    <cellStyle name="Schlecht 2" xfId="214"/>
    <cellStyle name="Schlecht 2 2" xfId="3891"/>
    <cellStyle name="SEM-BPS-key" xfId="104"/>
    <cellStyle name="Sheet Title" xfId="951"/>
    <cellStyle name="Standard 10" xfId="127"/>
    <cellStyle name="Standard 11" xfId="128"/>
    <cellStyle name="Standard 12" xfId="129"/>
    <cellStyle name="Standard 13" xfId="130"/>
    <cellStyle name="Standard 14" xfId="131"/>
    <cellStyle name="Standard 15" xfId="132"/>
    <cellStyle name="Standard 16" xfId="133"/>
    <cellStyle name="Standard 17" xfId="134"/>
    <cellStyle name="Standard 18" xfId="135"/>
    <cellStyle name="Standard 19" xfId="136"/>
    <cellStyle name="Standard 2" xfId="11"/>
    <cellStyle name="Standard 2 2" xfId="278"/>
    <cellStyle name="Standard 20" xfId="137"/>
    <cellStyle name="Standard 21" xfId="138"/>
    <cellStyle name="Standard 22" xfId="139"/>
    <cellStyle name="Standard 23" xfId="140"/>
    <cellStyle name="Standard 24" xfId="141"/>
    <cellStyle name="Standard 25" xfId="143"/>
    <cellStyle name="Standard 26" xfId="229"/>
    <cellStyle name="Standard 27" xfId="232"/>
    <cellStyle name="Standard 28" xfId="237"/>
    <cellStyle name="Standard 29" xfId="249"/>
    <cellStyle name="Standard 3" xfId="67"/>
    <cellStyle name="Standard 3 2" xfId="233"/>
    <cellStyle name="Standard 3 2 2" xfId="308"/>
    <cellStyle name="Standard 3 2 3" xfId="295"/>
    <cellStyle name="Standard 3 2 4" xfId="282"/>
    <cellStyle name="Standard 3 3" xfId="288"/>
    <cellStyle name="Standard 3 3 2" xfId="315"/>
    <cellStyle name="Standard 3 3 3" xfId="302"/>
    <cellStyle name="Standard 3 4" xfId="290"/>
    <cellStyle name="Standard 3 4 2" xfId="317"/>
    <cellStyle name="Standard 3 4 3" xfId="304"/>
    <cellStyle name="Standard 3 5" xfId="306"/>
    <cellStyle name="Standard 3 6" xfId="293"/>
    <cellStyle name="Standard 3 7" xfId="279"/>
    <cellStyle name="Standard 30" xfId="253"/>
    <cellStyle name="Standard 31" xfId="256"/>
    <cellStyle name="Standard 32" xfId="264"/>
    <cellStyle name="Standard 33" xfId="259"/>
    <cellStyle name="Standard 34" xfId="261"/>
    <cellStyle name="Standard 35" xfId="257"/>
    <cellStyle name="Standard 36" xfId="263"/>
    <cellStyle name="Standard 37" xfId="266"/>
    <cellStyle name="Standard 38" xfId="260"/>
    <cellStyle name="Standard 39" xfId="262"/>
    <cellStyle name="Standard 4" xfId="122"/>
    <cellStyle name="Standard 4 2" xfId="7142"/>
    <cellStyle name="Standard 40" xfId="258"/>
    <cellStyle name="Standard 41" xfId="267"/>
    <cellStyle name="Standard 42" xfId="269"/>
    <cellStyle name="Standard 43" xfId="268"/>
    <cellStyle name="Standard 44" xfId="270"/>
    <cellStyle name="Standard 45" xfId="271"/>
    <cellStyle name="Standard 46" xfId="274"/>
    <cellStyle name="Standard 47" xfId="275"/>
    <cellStyle name="Standard 5" xfId="123"/>
    <cellStyle name="Standard 6" xfId="124"/>
    <cellStyle name="Standard 7" xfId="121"/>
    <cellStyle name="Standard 8" xfId="125"/>
    <cellStyle name="Standard 9" xfId="126"/>
    <cellStyle name="Standard FIRE.sys" xfId="7"/>
    <cellStyle name="Standard neue Gruppe" xfId="8"/>
    <cellStyle name="Stil 1" xfId="215"/>
    <cellStyle name="Style 1" xfId="216"/>
    <cellStyle name="Style 1 2" xfId="217"/>
    <cellStyle name="Style 1 3" xfId="743"/>
    <cellStyle name="Style 1 3 2" xfId="4111"/>
    <cellStyle name="Style 1 4" xfId="952"/>
    <cellStyle name="Style 1 4 2" xfId="4307"/>
    <cellStyle name="Style 1_4111" xfId="744"/>
    <cellStyle name="Style 10" xfId="469"/>
    <cellStyle name="Style 10 2" xfId="1100"/>
    <cellStyle name="Style 10 3" xfId="1016"/>
    <cellStyle name="Style 10 4" xfId="1284"/>
    <cellStyle name="Style 10 5" xfId="1187"/>
    <cellStyle name="Style 10 6" xfId="2701"/>
    <cellStyle name="Style 11" xfId="470"/>
    <cellStyle name="Style 2" xfId="471"/>
    <cellStyle name="Style 2 2" xfId="745"/>
    <cellStyle name="Style 3" xfId="472"/>
    <cellStyle name="Style 3 2" xfId="746"/>
    <cellStyle name="Style 4" xfId="473"/>
    <cellStyle name="Style 4 2" xfId="747"/>
    <cellStyle name="Style 5" xfId="474"/>
    <cellStyle name="Style 6" xfId="475"/>
    <cellStyle name="Style 6 2" xfId="953"/>
    <cellStyle name="Style 6 3" xfId="1101"/>
    <cellStyle name="Style 6 4" xfId="1017"/>
    <cellStyle name="Style 6 5" xfId="1285"/>
    <cellStyle name="Style 6 6" xfId="1190"/>
    <cellStyle name="Style 6 7" xfId="2702"/>
    <cellStyle name="Style 7" xfId="476"/>
    <cellStyle name="Style 7 2" xfId="954"/>
    <cellStyle name="Style 7 3" xfId="1102"/>
    <cellStyle name="Style 7 4" xfId="1018"/>
    <cellStyle name="Style 7 5" xfId="1286"/>
    <cellStyle name="Style 7 6" xfId="1334"/>
    <cellStyle name="Style 7 7" xfId="2703"/>
    <cellStyle name="Style 8" xfId="477"/>
    <cellStyle name="Style 8 2" xfId="1103"/>
    <cellStyle name="Style 8 3" xfId="1019"/>
    <cellStyle name="Style 8 4" xfId="1287"/>
    <cellStyle name="Style 8 5" xfId="1422"/>
    <cellStyle name="Style 8 6" xfId="2704"/>
    <cellStyle name="Style 9" xfId="478"/>
    <cellStyle name="Style 9 2" xfId="1104"/>
    <cellStyle name="Style 9 3" xfId="1020"/>
    <cellStyle name="Style 9 4" xfId="1288"/>
    <cellStyle name="Style 9 5" xfId="1426"/>
    <cellStyle name="Style 9 6" xfId="2705"/>
    <cellStyle name="Subtotal" xfId="7150"/>
    <cellStyle name="Subtotal space" xfId="7151"/>
    <cellStyle name="Summe" xfId="9"/>
    <cellStyle name="tab" xfId="479"/>
    <cellStyle name="tab 2" xfId="748"/>
    <cellStyle name="tab 2 2" xfId="4210"/>
    <cellStyle name="tab 3" xfId="749"/>
    <cellStyle name="tab 3 2" xfId="4211"/>
    <cellStyle name="tab 4" xfId="750"/>
    <cellStyle name="Table Head Aligned" xfId="105"/>
    <cellStyle name="Text" xfId="106"/>
    <cellStyle name="Text 2" xfId="480"/>
    <cellStyle name="Title" xfId="218"/>
    <cellStyle name="Title 2" xfId="532"/>
    <cellStyle name="Title 2 2" xfId="751"/>
    <cellStyle name="Title 2 2 2" xfId="4112"/>
    <cellStyle name="Title 2 3" xfId="4113"/>
    <cellStyle name="Title 2 4" xfId="4556"/>
    <cellStyle name="Title 2 5" xfId="3954"/>
    <cellStyle name="Title 3" xfId="752"/>
    <cellStyle name="Title 4" xfId="753"/>
    <cellStyle name="Title 5" xfId="481"/>
    <cellStyle name="Titles" xfId="107"/>
    <cellStyle name="Total" xfId="219"/>
    <cellStyle name="Total 2" xfId="483"/>
    <cellStyle name="Total 2 2" xfId="754"/>
    <cellStyle name="Total 2 2 2" xfId="4114"/>
    <cellStyle name="Total 2 3" xfId="1105"/>
    <cellStyle name="Total 2 3 2" xfId="4115"/>
    <cellStyle name="Total 2 4" xfId="1021"/>
    <cellStyle name="Total 2 4 2" xfId="4557"/>
    <cellStyle name="Total 2 5" xfId="1289"/>
    <cellStyle name="Total 2 6" xfId="1442"/>
    <cellStyle name="Total 2 7" xfId="2706"/>
    <cellStyle name="Total 2 8" xfId="3955"/>
    <cellStyle name="Total 3" xfId="534"/>
    <cellStyle name="Total 3 2" xfId="3956"/>
    <cellStyle name="Total 4" xfId="755"/>
    <cellStyle name="Total 5" xfId="482"/>
    <cellStyle name="Total space" xfId="7152"/>
    <cellStyle name="Totals" xfId="108"/>
    <cellStyle name="U" xfId="109"/>
    <cellStyle name="überschr2" xfId="110"/>
    <cellStyle name="überschr2 2" xfId="484"/>
    <cellStyle name="Überschrift 1 2" xfId="220"/>
    <cellStyle name="Überschrift 1 2 2" xfId="3902"/>
    <cellStyle name="Überschrift 2 2" xfId="221"/>
    <cellStyle name="Überschrift 2 2 2" xfId="3903"/>
    <cellStyle name="Überschrift 3 2" xfId="222"/>
    <cellStyle name="Überschrift 3 2 2" xfId="3904"/>
    <cellStyle name="Überschrift 4 2" xfId="223"/>
    <cellStyle name="Überschrift 4 2 2" xfId="3905"/>
    <cellStyle name="Überschrift 5" xfId="224"/>
    <cellStyle name="ubordinated Debt" xfId="111"/>
    <cellStyle name="ubordinated Debt 2" xfId="485"/>
    <cellStyle name="ubordinated Debt 2 2" xfId="1107"/>
    <cellStyle name="ubordinated Debt 2 3" xfId="1022"/>
    <cellStyle name="ubordinated Debt 2 4" xfId="1290"/>
    <cellStyle name="ubordinated Debt 2 5" xfId="1184"/>
    <cellStyle name="ubordinated Debt 2 6" xfId="2707"/>
    <cellStyle name="Undefiniert" xfId="486"/>
    <cellStyle name="Undefiniert 2" xfId="756"/>
    <cellStyle name="Unprot" xfId="112"/>
    <cellStyle name="Unprot 2" xfId="487"/>
    <cellStyle name="Unprot$" xfId="113"/>
    <cellStyle name="Unprot$ 2" xfId="488"/>
    <cellStyle name="Unprot$ 2 2" xfId="1108"/>
    <cellStyle name="Unprot$ 2 3" xfId="1023"/>
    <cellStyle name="Unprot$ 2 4" xfId="1291"/>
    <cellStyle name="Unprot$ 2 5" xfId="1177"/>
    <cellStyle name="Unprot$ 2 6" xfId="2708"/>
    <cellStyle name="Unprotect" xfId="114"/>
    <cellStyle name="UnProtectedCalc" xfId="115"/>
    <cellStyle name="Verknüpfte Zelle 2" xfId="225"/>
    <cellStyle name="Verknüpfte Zelle 2 2" xfId="3907"/>
    <cellStyle name="Virgulă [0]_cls4" xfId="489"/>
    <cellStyle name="Virgulă_448%" xfId="490"/>
    <cellStyle name="vittorio's model" xfId="116"/>
    <cellStyle name="Warnender Text 2" xfId="226"/>
    <cellStyle name="Warnender Text 2 2" xfId="3910"/>
    <cellStyle name="Warning Text" xfId="227"/>
    <cellStyle name="Warning Text 2" xfId="491"/>
    <cellStyle name="Warning Text 2 2" xfId="757"/>
    <cellStyle name="Warning Text 2 2 2" xfId="4116"/>
    <cellStyle name="Warning Text 2 3" xfId="4117"/>
    <cellStyle name="Warning Text 2 4" xfId="4558"/>
    <cellStyle name="Warning Text 2 5" xfId="3957"/>
    <cellStyle name="Warning Text 3" xfId="758"/>
    <cellStyle name="Warning Text 4" xfId="759"/>
    <cellStyle name="Warning Text 5" xfId="505"/>
    <cellStyle name="x" xfId="117"/>
    <cellStyle name="Year" xfId="118"/>
    <cellStyle name="z" xfId="119"/>
    <cellStyle name="zahlen" xfId="120"/>
    <cellStyle name="zahlen 2" xfId="492"/>
    <cellStyle name="Zelle überprüfen 2" xfId="228"/>
    <cellStyle name="Zelle überprüfen 2 2" xfId="3893"/>
    <cellStyle name="Zwischensumme" xfId="1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9" defaultPivotStyle="PivotStyleLight16"/>
  <colors>
    <mruColors>
      <color rgb="FF0086CD"/>
      <color rgb="FFD4D4D4"/>
      <color rgb="FF99CC00"/>
      <color rgb="FF808080"/>
      <color rgb="FFFF66FF"/>
      <color rgb="FF0087CD"/>
      <color rgb="FF0000FF"/>
      <color rgb="FF00FF00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Q3/17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3</xdr:col>
      <xdr:colOff>0</xdr:colOff>
      <xdr:row>30</xdr:row>
      <xdr:rowOff>0</xdr:rowOff>
    </xdr:from>
    <xdr:to>
      <xdr:col>6</xdr:col>
      <xdr:colOff>683895</xdr:colOff>
      <xdr:row>32</xdr:row>
      <xdr:rowOff>206159</xdr:rowOff>
    </xdr:to>
    <xdr:pic>
      <xdr:nvPicPr>
        <xdr:cNvPr id="8" name="Grafik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8325" y="6238875"/>
          <a:ext cx="2969895" cy="6633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97664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7664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8623450" y="13607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623450" y="13607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92044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2044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89758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9758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9404500" y="0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404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103665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3665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110047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0047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107856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07856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75852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5852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96712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671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112523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2523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99950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9950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5375425" y="9525"/>
    <xdr:ext cx="901550" cy="719455"/>
    <xdr:pic>
      <xdr:nvPicPr>
        <xdr:cNvPr id="3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375425" y="952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93092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3092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80519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0519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3">
    <tabColor rgb="FFFF0000"/>
    <pageSetUpPr fitToPage="1"/>
  </sheetPr>
  <dimension ref="A2:M24"/>
  <sheetViews>
    <sheetView zoomScaleNormal="100" workbookViewId="0">
      <selection activeCell="P17" sqref="P17"/>
    </sheetView>
  </sheetViews>
  <sheetFormatPr defaultColWidth="11.42578125" defaultRowHeight="14.25" outlineLevelRow="1" outlineLevelCol="1"/>
  <cols>
    <col min="1" max="2" width="11.42578125" style="334"/>
    <col min="3" max="3" width="11.42578125" style="334" customWidth="1"/>
    <col min="4" max="4" width="11.42578125" style="334"/>
    <col min="5" max="5" width="6.28515625" style="334" customWidth="1"/>
    <col min="6" max="6" width="82.85546875" style="334" customWidth="1"/>
    <col min="7" max="8" width="11.42578125" style="334"/>
    <col min="9" max="9" width="5.28515625" style="334" customWidth="1"/>
    <col min="10" max="10" width="3.7109375" style="334" customWidth="1"/>
    <col min="11" max="11" width="3.140625" style="334" customWidth="1"/>
    <col min="12" max="12" width="15.5703125" style="375" customWidth="1" outlineLevel="1"/>
    <col min="13" max="13" width="11.42578125" style="375" customWidth="1" outlineLevel="1"/>
    <col min="14" max="16384" width="11.42578125" style="334"/>
  </cols>
  <sheetData>
    <row r="2" spans="1:13" ht="15.75" thickBot="1">
      <c r="A2" s="674" t="s">
        <v>452</v>
      </c>
      <c r="B2" s="675"/>
      <c r="C2" s="675"/>
      <c r="D2" s="335"/>
      <c r="E2" s="335"/>
      <c r="F2" s="335"/>
      <c r="G2" s="335"/>
      <c r="H2" s="335"/>
      <c r="I2" s="335"/>
      <c r="L2" s="376" t="s">
        <v>271</v>
      </c>
    </row>
    <row r="3" spans="1:13" ht="15" customHeight="1">
      <c r="A3" s="676" t="e">
        <f>INDEX(#REF!,MATCH(28960748,#REF!,0),Sy_nop)</f>
        <v>#REF!</v>
      </c>
      <c r="B3" s="677"/>
      <c r="C3" s="677"/>
      <c r="D3" s="336"/>
      <c r="E3" s="336"/>
      <c r="F3" s="336"/>
      <c r="G3" s="336"/>
      <c r="H3" s="336"/>
      <c r="I3" s="336"/>
      <c r="L3" s="377"/>
    </row>
    <row r="4" spans="1:13" ht="15" customHeight="1" thickBot="1">
      <c r="A4" s="355" t="e">
        <f>#REF!</f>
        <v>#REF!</v>
      </c>
      <c r="B4" s="356" t="e">
        <f>#REF!</f>
        <v>#REF!</v>
      </c>
      <c r="C4" s="355" t="e">
        <f>#REF!</f>
        <v>#REF!</v>
      </c>
      <c r="D4" s="357" t="e">
        <f>#REF!</f>
        <v>#REF!</v>
      </c>
      <c r="E4" s="358" t="s">
        <v>134</v>
      </c>
      <c r="F4" s="387"/>
      <c r="G4" s="355" t="e">
        <f>#REF!</f>
        <v>#REF!</v>
      </c>
      <c r="H4" s="357" t="e">
        <f>#REF!</f>
        <v>#REF!</v>
      </c>
      <c r="I4" s="355" t="s">
        <v>134</v>
      </c>
    </row>
    <row r="5" spans="1:13" s="342" customFormat="1" ht="15" customHeight="1">
      <c r="A5" s="338" t="str">
        <f ca="1">_xll.DBRW($L$2,#REF!,#REF!,$L$5,$M$5)</f>
        <v>*KEY_ERR</v>
      </c>
      <c r="B5" s="339" t="str">
        <f ca="1">_xll.DBRW($L$2,#REF!,#REF!,$L$5,$M$5)</f>
        <v>*KEY_ERR</v>
      </c>
      <c r="C5" s="338" t="str">
        <f ca="1">_xll.DBRW($L$2,#REF!,#REF!,$L$5,$M$5)</f>
        <v>*KEY_ERR</v>
      </c>
      <c r="D5" s="339" t="str">
        <f ca="1">_xll.DBRW($L$2,#REF!,#REF!,$L$5,$M$5)</f>
        <v>*KEY_ERR</v>
      </c>
      <c r="E5" s="340" t="str">
        <f ca="1">IF(AND(C5&lt;0,D5&lt;0),IF(ISERROR(OR(C5/D5,D5/C5)),"n.a.",IF(C5/D5&gt;0,IF(AND((C5-D5)/D5&lt;2,(C5-D5)/D5&gt;-2),-100*(C5-D5)/D5,"n.m."),"n.m.")),IF(ISERROR(OR(C5/D5,D5/C5)),"n.a.",IF(C5/D5&gt;0,IF(AND((C5-D5)/D5&lt;2,(C5-D5)/D5&gt;-2),100*(C5-D5)/D5,"n.m."),"n.m.")))</f>
        <v>n.a.</v>
      </c>
      <c r="F5" s="337" t="e">
        <f>INDEX(#REF!,MATCH(52716475,#REF!,0),Sy_nop)</f>
        <v>#REF!</v>
      </c>
      <c r="G5" s="338" t="str">
        <f ca="1">_xll.DBRW($L$2,#REF!,#REF!,$L5,$M5)</f>
        <v>*KEY_ERR</v>
      </c>
      <c r="H5" s="339" t="str">
        <f ca="1">_xll.DBRW($L$2,#REF!,#REF!,$L5,$M5)</f>
        <v>*KEY_ERR</v>
      </c>
      <c r="I5" s="340" t="str">
        <f ca="1">IF(AND(G5&lt;0,H5&lt;0),IF(ISERROR(OR(G5/H5,H5/G5)),"n.a.",IF(G5/H5&gt;0,IF(AND((G5-H5)/H5&lt;2,(G5-H5)/H5&gt;-2),-100*(G5-H5)/H5,"n.m."),"n.m.")),IF(ISERROR(OR(G5/H5,H5/G5)),"n.a.",IF(G5/H5&gt;0,IF(AND((G5-H5)/H5&lt;2,(G5-H5)/H5&gt;-2),100*(G5-H5)/H5,"n.m."),"n.m.")))</f>
        <v>n.a.</v>
      </c>
      <c r="J5" s="341"/>
      <c r="L5" s="378" t="s">
        <v>262</v>
      </c>
      <c r="M5" s="378" t="s">
        <v>269</v>
      </c>
    </row>
    <row r="6" spans="1:13" ht="15" customHeight="1">
      <c r="A6" s="343" t="str">
        <f ca="1">_xll.DBRW($L$2,#REF!,#REF!,$L$6,$M$6)</f>
        <v>*KEY_ERR</v>
      </c>
      <c r="B6" s="340" t="str">
        <f ca="1">_xll.DBRW($L$2,#REF!,#REF!,$L$6,$M$6)</f>
        <v>*KEY_ERR</v>
      </c>
      <c r="C6" s="343" t="str">
        <f ca="1">_xll.DBRW($L$2,#REF!,#REF!,$L$6,$M$6)</f>
        <v>*KEY_ERR</v>
      </c>
      <c r="D6" s="339" t="str">
        <f ca="1">_xll.DBRW($L$2,#REF!,#REF!,$L$6,$M$6)</f>
        <v>*KEY_ERR</v>
      </c>
      <c r="E6" s="340" t="str">
        <f t="shared" ref="E6:E15" ca="1" si="0">IF(AND(C6&lt;0,D6&lt;0),IF(ISERROR(OR(C6/D6,D6/C6)),"n.a.",IF(C6/D6&gt;0,IF(AND((C6-D6)/D6&lt;2,(C6-D6)/D6&gt;-2),-100*(C6-D6)/D6,"n.m."),"n.m.")),IF(ISERROR(OR(C6/D6,D6/C6)),"n.a.",IF(C6/D6&gt;0,IF(AND((C6-D6)/D6&lt;2,(C6-D6)/D6&gt;-2),100*(C6-D6)/D6,"n.m."),"n.m.")))</f>
        <v>n.a.</v>
      </c>
      <c r="F6" s="344" t="e">
        <f>INDEX(#REF!,MATCH(177599686,#REF!,0),Sy_nop)</f>
        <v>#REF!</v>
      </c>
      <c r="G6" s="338" t="str">
        <f ca="1">_xll.DBRW($L$2,#REF!,#REF!,$L6,$M6)</f>
        <v>*KEY_ERR</v>
      </c>
      <c r="H6" s="339" t="str">
        <f ca="1">_xll.DBRW($L$2,#REF!,#REF!,$L6,$M6)</f>
        <v>*KEY_ERR</v>
      </c>
      <c r="I6" s="340" t="str">
        <f t="shared" ref="I6:I15" ca="1" si="1">IF(AND(G6&lt;0,H6&lt;0),IF(ISERROR(OR(G6/H6,H6/G6)),"n.a.",IF(G6/H6&gt;0,IF(AND((G6-H6)/H6&lt;2,(G6-H6)/H6&gt;-2),-100*(G6-H6)/H6,"n.m."),"n.m.")),IF(ISERROR(OR(G6/H6,H6/G6)),"n.a.",IF(G6/H6&gt;0,IF(AND((G6-H6)/H6&lt;2,(G6-H6)/H6&gt;-2),100*(G6-H6)/H6,"n.m."),"n.m.")))</f>
        <v>n.a.</v>
      </c>
      <c r="J6" s="341"/>
      <c r="L6" s="379" t="s">
        <v>263</v>
      </c>
      <c r="M6" s="379" t="s">
        <v>269</v>
      </c>
    </row>
    <row r="7" spans="1:13" ht="15" customHeight="1">
      <c r="A7" s="338" t="str">
        <f ca="1">_xll.DBRW($L$2,#REF!,#REF!,$L$7,$M$7)</f>
        <v>*KEY_ERR</v>
      </c>
      <c r="B7" s="339" t="str">
        <f ca="1">_xll.DBRW($L$2,#REF!,#REF!,$L$7,$M$7)</f>
        <v>*KEY_ERR</v>
      </c>
      <c r="C7" s="338" t="str">
        <f ca="1">_xll.DBRW($L$2,#REF!,#REF!,$L$7,$M$7)</f>
        <v>*KEY_ERR</v>
      </c>
      <c r="D7" s="339" t="str">
        <f ca="1">_xll.DBRW($L$2,#REF!,#REF!,$L$7,$M$7)</f>
        <v>*KEY_ERR</v>
      </c>
      <c r="E7" s="340" t="str">
        <f t="shared" ca="1" si="0"/>
        <v>n.a.</v>
      </c>
      <c r="F7" s="344" t="e">
        <f>INDEX(#REF!,MATCH(-28104556,#REF!,0),Sy_nop)</f>
        <v>#REF!</v>
      </c>
      <c r="G7" s="338" t="str">
        <f ca="1">_xll.DBRW($L$2,#REF!,#REF!,$L7,$M7)</f>
        <v>*KEY_ERR</v>
      </c>
      <c r="H7" s="339" t="str">
        <f ca="1">_xll.DBRW($L$2,#REF!,#REF!,$L7,$M7)</f>
        <v>*KEY_ERR</v>
      </c>
      <c r="I7" s="340" t="str">
        <f t="shared" ca="1" si="1"/>
        <v>n.a.</v>
      </c>
      <c r="J7" s="341"/>
      <c r="L7" s="379" t="s">
        <v>264</v>
      </c>
      <c r="M7" s="379" t="s">
        <v>269</v>
      </c>
    </row>
    <row r="8" spans="1:13" ht="15.6" customHeight="1">
      <c r="A8" s="343" t="str">
        <f ca="1">_xll.DBRW($L$2,#REF!,#REF!,$L$8,$M$8)</f>
        <v>*KEY_ERR</v>
      </c>
      <c r="B8" s="340" t="str">
        <f ca="1">_xll.DBRW($L$2,#REF!,#REF!,$L$8,$M$8)</f>
        <v>*KEY_ERR</v>
      </c>
      <c r="C8" s="343" t="str">
        <f ca="1">_xll.DBRW($L$2,#REF!,#REF!,$L$8,$M$8)</f>
        <v>*KEY_ERR</v>
      </c>
      <c r="D8" s="339" t="str">
        <f ca="1">_xll.DBRW($L$2,#REF!,#REF!,$L$8,$M$8)</f>
        <v>*KEY_ERR</v>
      </c>
      <c r="E8" s="340" t="str">
        <f t="shared" ca="1" si="0"/>
        <v>n.a.</v>
      </c>
      <c r="F8" s="344" t="e">
        <f>INDEX(#REF!,MATCH(186376717,#REF!,0),Sy_nop)</f>
        <v>#REF!</v>
      </c>
      <c r="G8" s="338" t="str">
        <f ca="1">_xll.DBRW($L$2,#REF!,#REF!,$L8,$M8)</f>
        <v>*KEY_ERR</v>
      </c>
      <c r="H8" s="339" t="str">
        <f ca="1">_xll.DBRW($L$2,#REF!,#REF!,$L8,$M8)</f>
        <v>*KEY_ERR</v>
      </c>
      <c r="I8" s="340" t="str">
        <f t="shared" ca="1" si="1"/>
        <v>n.a.</v>
      </c>
      <c r="J8" s="341"/>
      <c r="L8" s="379" t="s">
        <v>265</v>
      </c>
      <c r="M8" s="379" t="s">
        <v>269</v>
      </c>
    </row>
    <row r="9" spans="1:13" ht="15" customHeight="1">
      <c r="A9" s="345" t="str">
        <f ca="1">_xll.DBRW($L$2,#REF!,#REF!,$L$9,$M$9)</f>
        <v>*KEY_ERR</v>
      </c>
      <c r="B9" s="346" t="str">
        <f ca="1">_xll.DBRW($L$2,#REF!,#REF!,$L$9,$M$9)</f>
        <v>*KEY_ERR</v>
      </c>
      <c r="C9" s="345" t="str">
        <f ca="1">_xll.DBRW($L$2,#REF!,#REF!,$L$9,$M$9)</f>
        <v>*KEY_ERR</v>
      </c>
      <c r="D9" s="347" t="str">
        <f ca="1">_xll.DBRW($L$2,#REF!,#REF!,$L$9,$M$9)</f>
        <v>*KEY_ERR</v>
      </c>
      <c r="E9" s="340" t="str">
        <f t="shared" ca="1" si="0"/>
        <v>n.a.</v>
      </c>
      <c r="F9" s="344" t="e">
        <f>INDEX(#REF!,MATCH(157983574,#REF!,0),Sy_nop)</f>
        <v>#REF!</v>
      </c>
      <c r="G9" s="348" t="str">
        <f ca="1">_xll.DBRW($L$2,#REF!,#REF!,$L9,$M9)</f>
        <v>*KEY_ERR</v>
      </c>
      <c r="H9" s="339" t="str">
        <f ca="1">_xll.DBRW($L$2,#REF!,#REF!,$L9,$M9)</f>
        <v>*KEY_ERR</v>
      </c>
      <c r="I9" s="340" t="str">
        <f t="shared" ca="1" si="1"/>
        <v>n.a.</v>
      </c>
      <c r="J9" s="341"/>
      <c r="L9" s="379" t="s">
        <v>266</v>
      </c>
      <c r="M9" s="379" t="s">
        <v>270</v>
      </c>
    </row>
    <row r="10" spans="1:13" ht="15" customHeight="1">
      <c r="A10" s="345" t="str">
        <f ca="1">_xll.DBRW($L$2,#REF!,#REF!,$L$10,$M$10)</f>
        <v>*KEY_ERR</v>
      </c>
      <c r="B10" s="346" t="str">
        <f ca="1">_xll.DBRW($L$2,#REF!,#REF!,$L$10,$M$10)</f>
        <v>*KEY_ERR</v>
      </c>
      <c r="C10" s="345" t="str">
        <f ca="1">_xll.DBRW($L$2,#REF!,#REF!,$L$10,$M$10)</f>
        <v>*KEY_ERR</v>
      </c>
      <c r="D10" s="347" t="str">
        <f ca="1">_xll.DBRW($L$2,#REF!,#REF!,$L$10,$M$10)</f>
        <v>*KEY_ERR</v>
      </c>
      <c r="E10" s="340" t="str">
        <f t="shared" ca="1" si="0"/>
        <v>n.a.</v>
      </c>
      <c r="F10" s="344" t="e">
        <f>INDEX(#REF!,MATCH(213522781,#REF!,0),Sy_nop)</f>
        <v>#REF!</v>
      </c>
      <c r="G10" s="348" t="str">
        <f ca="1">_xll.DBRW($L$2,#REF!,#REF!,$L10,$M10)</f>
        <v>*KEY_ERR</v>
      </c>
      <c r="H10" s="339" t="str">
        <f ca="1">_xll.DBRW($L$2,#REF!,#REF!,$L10,$M10)</f>
        <v>*KEY_ERR</v>
      </c>
      <c r="I10" s="340" t="str">
        <f ca="1">IF(AND(G10&lt;0,H10&lt;0),IF(ISERROR(OR(G10/H10,H10/G10)),"n.a.",IF(G10/H10&gt;0,IF(AND((G10-H10)/H10&lt;2,(G10-H10)/H10&gt;-2),-100*(G10-H10)/H10,"n.m."),"n.m.")),IF(ISERROR(OR(G10/H10,H10/G10)),"n.a.",IF(G10/H10&gt;0,IF(AND((G10-H10)/H10&lt;2,(G10-H10)/H10&gt;-2),100*(G10-H10)/H10,"n.m."),"n.m.")))</f>
        <v>n.a.</v>
      </c>
      <c r="J10" s="341"/>
      <c r="L10" s="379" t="s">
        <v>267</v>
      </c>
      <c r="M10" s="379" t="s">
        <v>270</v>
      </c>
    </row>
    <row r="11" spans="1:13" ht="15" customHeight="1">
      <c r="A11" s="338" t="str">
        <f ca="1">_xll.DBRW($L$2,#REF!,#REF!,$L$11,$M$11)</f>
        <v>*KEY_ERR</v>
      </c>
      <c r="B11" s="339" t="str">
        <f ca="1">_xll.DBRW($L$2,#REF!,#REF!,$L$11,$M$11)</f>
        <v>*KEY_ERR</v>
      </c>
      <c r="C11" s="338" t="str">
        <f ca="1">_xll.DBRW($L$2,#REF!,#REF!,$L$11,$M$11)</f>
        <v>*KEY_ERR</v>
      </c>
      <c r="D11" s="339" t="str">
        <f ca="1">_xll.DBRW($L$2,#REF!,#REF!,$L$11,$M$11)</f>
        <v>*KEY_ERR</v>
      </c>
      <c r="E11" s="339" t="str">
        <f t="shared" ca="1" si="0"/>
        <v>n.a.</v>
      </c>
      <c r="F11" s="344" t="e">
        <f>INDEX(#REF!,MATCH(-156010514,#REF!,0),Sy_nop)</f>
        <v>#REF!</v>
      </c>
      <c r="G11" s="338" t="str">
        <f ca="1">_xll.DBRW($L$2,#REF!,#REF!,$L11,$M11)</f>
        <v>*KEY_ERR</v>
      </c>
      <c r="H11" s="339" t="str">
        <f ca="1">_xll.DBRW($L$2,#REF!,#REF!,$L11,$M11)</f>
        <v>*KEY_ERR</v>
      </c>
      <c r="I11" s="340" t="str">
        <f t="shared" ca="1" si="1"/>
        <v>n.a.</v>
      </c>
      <c r="J11" s="341"/>
      <c r="L11" s="379" t="s">
        <v>268</v>
      </c>
      <c r="M11" s="379" t="s">
        <v>269</v>
      </c>
    </row>
    <row r="12" spans="1:13" ht="15" customHeight="1">
      <c r="A12" s="338" t="str">
        <f ca="1">_xll.DBRW($L$2,#REF!,#REF!,$L$12,$M$12)</f>
        <v>*KEY_ERR</v>
      </c>
      <c r="B12" s="339" t="str">
        <f ca="1">_xll.DBRW($L$2,#REF!,#REF!,$L$12,$M$12)</f>
        <v>*KEY_ERR</v>
      </c>
      <c r="C12" s="338" t="str">
        <f ca="1">_xll.DBRW($L$2,#REF!,#REF!,$L$12,$M$12)</f>
        <v>*KEY_ERR</v>
      </c>
      <c r="D12" s="339" t="str">
        <f ca="1">_xll.DBRW($L$2,#REF!,#REF!,$L$12,$M$12)</f>
        <v>*KEY_ERR</v>
      </c>
      <c r="E12" s="339" t="str">
        <f ca="1">IF(AND(C12&lt;0,D12&lt;0),IF(ISERROR(OR(C12/D12,D12/C12)),"n.a.",IF(C12/D12&gt;0,IF(AND((C12-D12)/D12&lt;2,(C12-D12)/D12&gt;-2),-100*(C12-D12)/D12,"n.m."),"n.m.")),IF(ISERROR(OR(C12/D12,D12/C12)),"n.a.",IF(C12/D12&gt;0,IF(AND((C12-D12)/D12&lt;2,(C12-D12)/D12&gt;-2),100*(C12-D12)/D12,"n.m."),"n.m.")))</f>
        <v>n.a.</v>
      </c>
      <c r="F12" s="349" t="e">
        <f>INDEX(#REF!,MATCH(-65331447,#REF!,0),Sy_nop)</f>
        <v>#REF!</v>
      </c>
      <c r="G12" s="338" t="str">
        <f ca="1">_xll.DBRW($L$2,#REF!,#REF!,$L12,$M12)</f>
        <v>*KEY_ERR</v>
      </c>
      <c r="H12" s="339" t="str">
        <f ca="1">_xll.DBRW($L$2,#REF!,#REF!,$L12,$M12)</f>
        <v>*KEY_ERR</v>
      </c>
      <c r="I12" s="340" t="str">
        <f t="shared" ref="I12:I13" ca="1" si="2">IF(AND(G12&lt;0,H12&lt;0),IF(ISERROR(OR(G12/H12,H12/G12)),"n.a.",IF(G12/H12&gt;0,IF(AND((G12-H12)/H12&lt;2,(G12-H12)/H12&gt;-2),-100*(G12-H12)/H12,"n.m."),"n.m.")),IF(ISERROR(OR(G12/H12,H12/G12)),"n.a.",IF(G12/H12&gt;0,IF(AND((G12-H12)/H12&lt;2,(G12-H12)/H12&gt;-2),100*(G12-H12)/H12,"n.m."),"n.m.")))</f>
        <v>n.a.</v>
      </c>
      <c r="J12" s="341"/>
      <c r="L12" s="388" t="s">
        <v>422</v>
      </c>
      <c r="M12" s="388" t="s">
        <v>269</v>
      </c>
    </row>
    <row r="13" spans="1:13" ht="15" customHeight="1">
      <c r="A13" s="338" t="str">
        <f ca="1">_xll.DBRW($L$2,#REF!,#REF!,$L$13,$M$13)</f>
        <v>*KEY_ERR</v>
      </c>
      <c r="B13" s="339" t="str">
        <f ca="1">_xll.DBRW($L$2,#REF!,#REF!,$L$13,$M$13)</f>
        <v>*KEY_ERR</v>
      </c>
      <c r="C13" s="338" t="str">
        <f ca="1">_xll.DBRW($L$2,#REF!,#REF!,$L$13,$M$13)</f>
        <v>*KEY_ERR</v>
      </c>
      <c r="D13" s="339" t="str">
        <f ca="1">_xll.DBRW($L$2,#REF!,#REF!,$L$13,$M$13)</f>
        <v>*KEY_ERR</v>
      </c>
      <c r="E13" s="339" t="str">
        <f ca="1">IF(AND(C13&lt;0,D13&lt;0),IF(ISERROR(OR(C13/D13,D13/C13)),"n.a.",IF(C13/D13&gt;0,IF(AND((C13-D13)/D13&lt;2,(C13-D13)/D13&gt;-2),-100*(C13-D13)/D13,"n.m."),"n.m.")),IF(ISERROR(OR(C13/D13,D13/C13)),"n.a.",IF(C13/D13&gt;0,IF(AND((C13-D13)/D13&lt;2,(C13-D13)/D13&gt;-2),100*(C13-D13)/D13,"n.m."),"n.m.")))</f>
        <v>n.a.</v>
      </c>
      <c r="F13" s="349" t="e">
        <f>INDEX(#REF!,MATCH(173888326,#REF!,0),Sy_nop)</f>
        <v>#REF!</v>
      </c>
      <c r="G13" s="338" t="str">
        <f ca="1">_xll.DBRW($L$2,#REF!,#REF!,$L13,$M13)</f>
        <v>*KEY_ERR</v>
      </c>
      <c r="H13" s="339" t="str">
        <f ca="1">_xll.DBRW($L$2,#REF!,#REF!,$L13,$M13)</f>
        <v>*KEY_ERR</v>
      </c>
      <c r="I13" s="340" t="str">
        <f t="shared" ca="1" si="2"/>
        <v>n.a.</v>
      </c>
      <c r="J13" s="341"/>
      <c r="L13" s="388" t="s">
        <v>423</v>
      </c>
      <c r="M13" s="388" t="s">
        <v>269</v>
      </c>
    </row>
    <row r="14" spans="1:13">
      <c r="A14" s="338" t="str">
        <f ca="1">+A13</f>
        <v>*KEY_ERR</v>
      </c>
      <c r="B14" s="339">
        <v>803</v>
      </c>
      <c r="C14" s="338" t="str">
        <f ca="1">+C13</f>
        <v>*KEY_ERR</v>
      </c>
      <c r="D14" s="339" t="str">
        <f ca="1">+D13</f>
        <v>*KEY_ERR</v>
      </c>
      <c r="E14" s="339" t="str">
        <f ca="1">IF(AND(C14&lt;0,D14&lt;0),IF(ISERROR(OR(C14/D14,D14/C14)),"n.a.",IF(C14/D14&gt;0,IF(AND((C14-D14)/D14&lt;2,(C14-D14)/D14&gt;-2),-100*(C14-D14)/D14,"n.m."),"n.m.")),IF(ISERROR(OR(C14/D14,D14/C14)),"n.a.",IF(C14/D14&gt;0,IF(AND((C14-D14)/D14&lt;2,(C14-D14)/D14&gt;-2),100*(C14-D14)/D14,"n.m."),"n.m.")))</f>
        <v>n.a.</v>
      </c>
      <c r="F14" s="349" t="e">
        <f>INDEX(#REF!,MATCH(-170345438,#REF!,0),Sy_nop)</f>
        <v>#REF!</v>
      </c>
      <c r="G14" s="338">
        <v>1105</v>
      </c>
      <c r="H14" s="339">
        <v>-582</v>
      </c>
      <c r="I14" s="340" t="str">
        <f ca="1">+I13</f>
        <v>n.a.</v>
      </c>
      <c r="J14" s="341"/>
      <c r="L14" s="388"/>
      <c r="M14" s="388"/>
    </row>
    <row r="15" spans="1:13" ht="15" customHeight="1" outlineLevel="1">
      <c r="A15" s="350" t="s">
        <v>124</v>
      </c>
      <c r="B15" s="351" t="s">
        <v>124</v>
      </c>
      <c r="C15" s="350" t="s">
        <v>124</v>
      </c>
      <c r="D15" s="351" t="s">
        <v>124</v>
      </c>
      <c r="E15" s="339" t="str">
        <f t="shared" si="0"/>
        <v>n.a.</v>
      </c>
      <c r="F15" s="344" t="e">
        <f>INDEX(#REF!,MATCH(-17640814,#REF!,0),Sy_nop)</f>
        <v>#REF!</v>
      </c>
      <c r="G15" s="348">
        <v>1.2</v>
      </c>
      <c r="H15" s="339" t="str">
        <f ca="1">_xll.DBRW($L$2,#REF!,#REF!,$L15,$M15)</f>
        <v>*KEY_ERR</v>
      </c>
      <c r="I15" s="340" t="str">
        <f t="shared" ca="1" si="1"/>
        <v>n.a.</v>
      </c>
      <c r="J15" s="352"/>
    </row>
    <row r="16" spans="1:13" ht="16.5" customHeight="1">
      <c r="A16" s="672"/>
      <c r="B16" s="672"/>
      <c r="C16" s="672"/>
      <c r="D16" s="672"/>
      <c r="E16" s="672"/>
      <c r="F16" s="672"/>
      <c r="G16" s="672"/>
      <c r="H16" s="672"/>
      <c r="I16" s="672"/>
    </row>
    <row r="17" spans="1:9" ht="27" customHeight="1">
      <c r="A17" s="673" t="e">
        <f>INDEX(#REF!,MATCH(-186951331,#REF!,0),Sy_nop)</f>
        <v>#REF!</v>
      </c>
      <c r="B17" s="673"/>
      <c r="C17" s="673"/>
      <c r="D17" s="673"/>
      <c r="E17" s="673"/>
      <c r="F17" s="673"/>
      <c r="G17" s="673"/>
      <c r="H17" s="673"/>
      <c r="I17" s="673"/>
    </row>
    <row r="18" spans="1:9" ht="15.75" customHeight="1">
      <c r="A18" s="334" t="e">
        <f>INDEX(#REF!,MATCH(-46583593,#REF!,0),Sy_nop)</f>
        <v>#REF!</v>
      </c>
    </row>
    <row r="19" spans="1:9" ht="15.75" customHeight="1">
      <c r="A19" s="334" t="e">
        <f>INDEX(#REF!,MATCH(-189501760,#REF!,0),Sy_nop)</f>
        <v>#REF!</v>
      </c>
    </row>
    <row r="20" spans="1:9">
      <c r="A20" s="334" t="e">
        <f>INDEX(#REF!,MATCH(11860433,#REF!,0),Sy_nop)</f>
        <v>#REF!</v>
      </c>
    </row>
    <row r="24" spans="1:9">
      <c r="A24" s="334">
        <v>1.6</v>
      </c>
      <c r="B24" s="334">
        <f>$A$24</f>
        <v>1.6</v>
      </c>
      <c r="C24" s="334">
        <f>$A$24</f>
        <v>1.6</v>
      </c>
      <c r="D24" s="334">
        <f>$A$24</f>
        <v>1.6</v>
      </c>
      <c r="E24" s="334">
        <v>1</v>
      </c>
      <c r="F24" s="334">
        <f>17.5-SUM(A24:E24)-SUM(G24:I24)</f>
        <v>5.8999999999999995</v>
      </c>
      <c r="G24" s="334">
        <f>$A$24</f>
        <v>1.6</v>
      </c>
      <c r="H24" s="334">
        <f>$A$24</f>
        <v>1.6</v>
      </c>
      <c r="I24" s="334">
        <v>1</v>
      </c>
    </row>
  </sheetData>
  <mergeCells count="4">
    <mergeCell ref="A16:I16"/>
    <mergeCell ref="A17:I17"/>
    <mergeCell ref="A2:C2"/>
    <mergeCell ref="A3:C3"/>
  </mergeCells>
  <pageMargins left="0.7" right="0.7" top="0.78740157499999996" bottom="0.78740157499999996" header="0.3" footer="0.3"/>
  <pageSetup paperSize="9" scale="96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70C0"/>
    <pageSetUpPr fitToPage="1"/>
  </sheetPr>
  <dimension ref="A11:D33"/>
  <sheetViews>
    <sheetView tabSelected="1" view="pageBreakPreview" zoomScaleNormal="115" zoomScaleSheetLayoutView="100" workbookViewId="0"/>
  </sheetViews>
  <sheetFormatPr defaultColWidth="11.42578125" defaultRowHeight="14.25"/>
  <cols>
    <col min="1" max="1" width="6.28515625" style="632" customWidth="1"/>
    <col min="2" max="2" width="56.5703125" style="632" customWidth="1"/>
    <col min="3" max="3" width="21.85546875" style="632" customWidth="1"/>
    <col min="4" max="16384" width="11.42578125" style="632"/>
  </cols>
  <sheetData>
    <row r="11" spans="2:3">
      <c r="B11" s="85" t="s">
        <v>120</v>
      </c>
    </row>
    <row r="12" spans="2:3">
      <c r="B12" s="678" t="s">
        <v>121</v>
      </c>
      <c r="C12" s="678"/>
    </row>
    <row r="13" spans="2:3">
      <c r="B13" s="85"/>
    </row>
    <row r="14" spans="2:3" s="633" customFormat="1" ht="18" customHeight="1">
      <c r="B14" s="84" t="s">
        <v>23</v>
      </c>
    </row>
    <row r="15" spans="2:3" s="633" customFormat="1" ht="18" customHeight="1">
      <c r="B15" s="84" t="s">
        <v>187</v>
      </c>
    </row>
    <row r="16" spans="2:3" s="633" customFormat="1" ht="18" customHeight="1">
      <c r="B16" s="84" t="s">
        <v>188</v>
      </c>
    </row>
    <row r="17" spans="1:4" s="633" customFormat="1" ht="18" customHeight="1">
      <c r="B17" s="84" t="s">
        <v>165</v>
      </c>
    </row>
    <row r="18" spans="1:4" s="633" customFormat="1" ht="18" customHeight="1">
      <c r="B18" s="84" t="s">
        <v>117</v>
      </c>
    </row>
    <row r="19" spans="1:4" s="633" customFormat="1" ht="18" customHeight="1">
      <c r="B19" s="84" t="s">
        <v>272</v>
      </c>
    </row>
    <row r="20" spans="1:4" s="633" customFormat="1" ht="18" customHeight="1">
      <c r="B20" s="84" t="s">
        <v>37</v>
      </c>
    </row>
    <row r="21" spans="1:4" s="633" customFormat="1" ht="18" customHeight="1">
      <c r="B21" s="84" t="s">
        <v>118</v>
      </c>
    </row>
    <row r="22" spans="1:4" s="633" customFormat="1" ht="18" customHeight="1">
      <c r="B22" s="84" t="s">
        <v>487</v>
      </c>
    </row>
    <row r="23" spans="1:4" ht="18" customHeight="1">
      <c r="A23" s="633"/>
      <c r="B23" s="84" t="s">
        <v>164</v>
      </c>
    </row>
    <row r="24" spans="1:4" s="633" customFormat="1" ht="18" customHeight="1">
      <c r="B24" s="84" t="s">
        <v>219</v>
      </c>
    </row>
    <row r="25" spans="1:4" s="633" customFormat="1" ht="18" customHeight="1">
      <c r="B25" s="84" t="s">
        <v>230</v>
      </c>
    </row>
    <row r="26" spans="1:4" ht="18" customHeight="1">
      <c r="A26" s="633"/>
      <c r="B26" s="84" t="s">
        <v>488</v>
      </c>
    </row>
    <row r="27" spans="1:4" ht="18" customHeight="1">
      <c r="A27" s="633"/>
      <c r="B27" s="581" t="s">
        <v>507</v>
      </c>
      <c r="C27" s="84"/>
      <c r="D27" s="84"/>
    </row>
    <row r="28" spans="1:4" ht="18" customHeight="1">
      <c r="A28" s="633"/>
      <c r="B28" s="580" t="s">
        <v>119</v>
      </c>
    </row>
    <row r="29" spans="1:4" ht="18" customHeight="1">
      <c r="A29" s="633"/>
    </row>
    <row r="30" spans="1:4" ht="18" customHeight="1"/>
    <row r="31" spans="1:4" ht="18" customHeight="1"/>
    <row r="32" spans="1:4" ht="18" customHeight="1">
      <c r="B32"/>
    </row>
    <row r="33" ht="18" customHeight="1"/>
  </sheetData>
  <mergeCells count="1">
    <mergeCell ref="B12:C12"/>
  </mergeCells>
  <hyperlinks>
    <hyperlink ref="B14" location="'Financial highlights'!A1" display="Financial highlights"/>
    <hyperlink ref="B16" location="Downstream!A1" display="Downstream"/>
    <hyperlink ref="B21" location="'Cash flows'!A1" display="Cash flows"/>
    <hyperlink ref="B20" location="'Statement of changes in equity'!A1" display="Statement of changes in equity"/>
    <hyperlink ref="B17" location="'Income statement'!A1" display="Income Statement"/>
    <hyperlink ref="B18" location="'Statement of compr. income'!A1" display="Statement of comprehensive income"/>
    <hyperlink ref="B15" location="Upstream!A1" display="Upstream"/>
    <hyperlink ref="B19" location="'Statement of fin. position'!A1" display="'Statement of fin. position'!A1"/>
    <hyperlink ref="B22" location="'Income Tax'!A1" display="Income Tax"/>
    <hyperlink ref="B25" location="'Related Parties'!A1" display="'Related Parties'!A1"/>
    <hyperlink ref="B28" location="'Economic environment'!A1" display="Economic environment"/>
    <hyperlink ref="B27" location="'CAPEX, EBITD, Clean CCS EBITD'!A1" display="CAPEX, EBITD, Clean CCS EBITD"/>
    <hyperlink ref="B24" location="'Segment reporting'!A1" display="Segment reporting"/>
    <hyperlink ref="B23" location="'Financial instruments'!A1" display="Financial instruments"/>
    <hyperlink ref="B26" location="'Net cash inflows'!A1" display="Net cash inflows"/>
    <hyperlink ref="B27:D27" location="'CAPEX,(CleanCCS) Op. Result'!A1" display="CAPEX, Operating Result before depreciation, Clean CCS Operating result before depreciation"/>
  </hyperlinks>
  <printOptions horizontalCentered="1"/>
  <pageMargins left="0.25" right="0.25" top="0.75" bottom="0.75" header="0.3" footer="0.3"/>
  <pageSetup paperSize="9" scale="76" fitToHeight="0" orientation="portrait" r:id="rId1"/>
  <headerFooter alignWithMargins="0">
    <oddHeader>&amp;CNovember 9, 2017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outlinePr summaryBelow="0"/>
    <pageSetUpPr fitToPage="1"/>
  </sheetPr>
  <dimension ref="A1:X77"/>
  <sheetViews>
    <sheetView view="pageBreakPreview" zoomScaleNormal="85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1.42578125" style="370"/>
    <col min="2" max="2" width="63.5703125" style="362" customWidth="1"/>
    <col min="3" max="8" width="10.7109375" style="362" customWidth="1"/>
    <col min="9" max="10" width="10.7109375" style="363" customWidth="1"/>
    <col min="11" max="14" width="11.42578125" style="370"/>
    <col min="16" max="19" width="11.42578125" style="370"/>
    <col min="20" max="22" width="11.42578125" style="354"/>
    <col min="25" max="16384" width="11.42578125" style="354"/>
  </cols>
  <sheetData>
    <row r="1" spans="1:19" s="267" customFormat="1" ht="30" customHeight="1">
      <c r="A1" s="589"/>
      <c r="B1" s="440" t="s">
        <v>120</v>
      </c>
      <c r="C1" s="590"/>
      <c r="D1" s="590"/>
      <c r="E1" s="590"/>
      <c r="F1" s="590"/>
      <c r="G1" s="590"/>
      <c r="H1" s="590"/>
      <c r="I1" s="590"/>
      <c r="J1" s="590"/>
      <c r="K1" s="589"/>
      <c r="L1" s="589"/>
      <c r="M1" s="589"/>
      <c r="N1" s="589"/>
      <c r="P1" s="589"/>
      <c r="Q1" s="589"/>
      <c r="R1" s="589"/>
      <c r="S1" s="589"/>
    </row>
    <row r="2" spans="1:19" s="370" customFormat="1" ht="15.75">
      <c r="B2" s="588"/>
      <c r="C2" s="452"/>
      <c r="D2" s="452"/>
      <c r="E2" s="452"/>
      <c r="F2" s="452"/>
      <c r="G2" s="452"/>
      <c r="H2" s="452"/>
      <c r="I2" s="452"/>
      <c r="J2" s="452"/>
    </row>
    <row r="3" spans="1:19" s="370" customFormat="1" ht="15.75">
      <c r="B3" s="411"/>
      <c r="C3" s="452"/>
      <c r="D3" s="452"/>
      <c r="E3" s="452"/>
      <c r="F3" s="452"/>
      <c r="G3" s="452"/>
      <c r="H3" s="452"/>
      <c r="I3" s="452"/>
      <c r="J3" s="452"/>
    </row>
    <row r="4" spans="1:19" ht="15.75" thickBot="1">
      <c r="B4" s="353" t="s">
        <v>23</v>
      </c>
      <c r="C4" s="437"/>
      <c r="D4" s="437"/>
      <c r="E4" s="437"/>
      <c r="F4" s="437"/>
      <c r="G4" s="437"/>
      <c r="H4" s="437"/>
      <c r="I4" s="646"/>
      <c r="J4" s="646"/>
    </row>
    <row r="5" spans="1:19">
      <c r="B5" s="438" t="s">
        <v>450</v>
      </c>
      <c r="D5" s="476"/>
      <c r="E5" s="476"/>
      <c r="F5" s="476"/>
      <c r="G5" s="477"/>
      <c r="H5" s="476"/>
      <c r="I5" s="476"/>
      <c r="J5" s="441"/>
    </row>
    <row r="6" spans="1:19" ht="15.75" thickBot="1">
      <c r="B6" s="358"/>
      <c r="C6" s="356" t="s">
        <v>454</v>
      </c>
      <c r="D6" s="356" t="s">
        <v>455</v>
      </c>
      <c r="E6" s="356" t="s">
        <v>456</v>
      </c>
      <c r="F6" s="356" t="s">
        <v>457</v>
      </c>
      <c r="G6" s="442">
        <v>2016</v>
      </c>
      <c r="H6" s="356" t="s">
        <v>458</v>
      </c>
      <c r="I6" s="356" t="s">
        <v>459</v>
      </c>
      <c r="J6" s="442" t="s">
        <v>540</v>
      </c>
    </row>
    <row r="7" spans="1:19" ht="17.25">
      <c r="B7" s="435" t="s">
        <v>481</v>
      </c>
      <c r="C7" s="359">
        <v>3991</v>
      </c>
      <c r="D7" s="359">
        <v>4614</v>
      </c>
      <c r="E7" s="359">
        <v>5249</v>
      </c>
      <c r="F7" s="359">
        <v>5407</v>
      </c>
      <c r="G7" s="443">
        <v>19260</v>
      </c>
      <c r="H7" s="359">
        <v>5518</v>
      </c>
      <c r="I7" s="359">
        <v>5152</v>
      </c>
      <c r="J7" s="443">
        <v>4646</v>
      </c>
    </row>
    <row r="8" spans="1:19">
      <c r="B8" s="435"/>
      <c r="C8" s="359"/>
      <c r="D8" s="359"/>
      <c r="E8" s="359"/>
      <c r="F8" s="359"/>
      <c r="G8" s="443"/>
      <c r="H8" s="359"/>
      <c r="I8" s="359"/>
      <c r="J8" s="443"/>
    </row>
    <row r="9" spans="1:19" s="481" customFormat="1" ht="17.25">
      <c r="A9" s="480"/>
      <c r="B9" s="408" t="s">
        <v>519</v>
      </c>
      <c r="C9" s="360">
        <v>262</v>
      </c>
      <c r="D9" s="360">
        <v>331</v>
      </c>
      <c r="E9" s="360">
        <v>529</v>
      </c>
      <c r="F9" s="360">
        <v>412</v>
      </c>
      <c r="G9" s="444">
        <v>1535</v>
      </c>
      <c r="H9" s="360">
        <v>805</v>
      </c>
      <c r="I9" s="360">
        <v>662</v>
      </c>
      <c r="J9" s="444">
        <v>804</v>
      </c>
      <c r="K9" s="480"/>
      <c r="L9" s="480"/>
      <c r="M9" s="480"/>
      <c r="N9" s="480"/>
      <c r="P9" s="480"/>
      <c r="Q9" s="480"/>
      <c r="R9" s="480"/>
      <c r="S9" s="480"/>
    </row>
    <row r="10" spans="1:19" ht="17.25">
      <c r="B10" s="450" t="s">
        <v>547</v>
      </c>
      <c r="C10" s="451">
        <v>92</v>
      </c>
      <c r="D10" s="451">
        <v>49</v>
      </c>
      <c r="E10" s="451">
        <v>137</v>
      </c>
      <c r="F10" s="451">
        <v>102</v>
      </c>
      <c r="G10" s="483">
        <v>380</v>
      </c>
      <c r="H10" s="451">
        <v>170</v>
      </c>
      <c r="I10" s="451">
        <v>197</v>
      </c>
      <c r="J10" s="483">
        <v>228</v>
      </c>
    </row>
    <row r="11" spans="1:19" ht="17.25">
      <c r="B11" s="450" t="s">
        <v>520</v>
      </c>
      <c r="C11" s="545">
        <v>17</v>
      </c>
      <c r="D11" s="545">
        <v>30</v>
      </c>
      <c r="E11" s="545">
        <v>36</v>
      </c>
      <c r="F11" s="545">
        <v>31</v>
      </c>
      <c r="G11" s="534">
        <v>114</v>
      </c>
      <c r="H11" s="545">
        <v>53</v>
      </c>
      <c r="I11" s="545">
        <v>43</v>
      </c>
      <c r="J11" s="637"/>
    </row>
    <row r="12" spans="1:19" ht="17.25">
      <c r="B12" s="435" t="s">
        <v>521</v>
      </c>
      <c r="C12" s="359">
        <v>-96</v>
      </c>
      <c r="D12" s="359">
        <v>3</v>
      </c>
      <c r="E12" s="359">
        <v>41</v>
      </c>
      <c r="F12" s="359">
        <v>91</v>
      </c>
      <c r="G12" s="443">
        <v>40</v>
      </c>
      <c r="H12" s="359">
        <v>321</v>
      </c>
      <c r="I12" s="359">
        <v>259</v>
      </c>
      <c r="J12" s="443">
        <v>300</v>
      </c>
    </row>
    <row r="13" spans="1:19" ht="17.25">
      <c r="B13" s="435" t="s">
        <v>522</v>
      </c>
      <c r="C13" s="359">
        <v>319</v>
      </c>
      <c r="D13" s="359">
        <v>363</v>
      </c>
      <c r="E13" s="359">
        <v>488</v>
      </c>
      <c r="F13" s="359">
        <v>362</v>
      </c>
      <c r="G13" s="443">
        <v>1533</v>
      </c>
      <c r="H13" s="359">
        <v>494</v>
      </c>
      <c r="I13" s="359">
        <v>411</v>
      </c>
      <c r="J13" s="443">
        <v>510</v>
      </c>
    </row>
    <row r="14" spans="1:19" ht="17.25">
      <c r="B14" s="435" t="s">
        <v>523</v>
      </c>
      <c r="C14" s="359">
        <v>-4</v>
      </c>
      <c r="D14" s="359">
        <v>-12</v>
      </c>
      <c r="E14" s="359">
        <v>-7</v>
      </c>
      <c r="F14" s="359">
        <v>-27</v>
      </c>
      <c r="G14" s="443">
        <v>-50</v>
      </c>
      <c r="H14" s="359">
        <v>-13</v>
      </c>
      <c r="I14" s="359">
        <v>-13</v>
      </c>
      <c r="J14" s="443">
        <v>-4</v>
      </c>
    </row>
    <row r="15" spans="1:19">
      <c r="B15" s="435" t="s">
        <v>539</v>
      </c>
      <c r="C15" s="359">
        <v>44</v>
      </c>
      <c r="D15" s="359">
        <v>-24</v>
      </c>
      <c r="E15" s="359">
        <v>7</v>
      </c>
      <c r="F15" s="359">
        <v>-14</v>
      </c>
      <c r="G15" s="443">
        <v>12</v>
      </c>
      <c r="H15" s="359">
        <v>3</v>
      </c>
      <c r="I15" s="359">
        <v>5</v>
      </c>
      <c r="J15" s="443">
        <v>-3</v>
      </c>
    </row>
    <row r="16" spans="1:19">
      <c r="B16" s="435" t="s">
        <v>453</v>
      </c>
      <c r="C16" s="359">
        <v>-12</v>
      </c>
      <c r="D16" s="359">
        <v>5</v>
      </c>
      <c r="E16" s="359">
        <v>-10</v>
      </c>
      <c r="F16" s="359">
        <v>42</v>
      </c>
      <c r="G16" s="443">
        <v>7</v>
      </c>
      <c r="H16" s="359">
        <v>20</v>
      </c>
      <c r="I16" s="359">
        <v>35</v>
      </c>
      <c r="J16" s="443">
        <v>19</v>
      </c>
    </row>
    <row r="17" spans="1:19" s="481" customFormat="1" ht="17.25">
      <c r="B17" s="478" t="s">
        <v>524</v>
      </c>
      <c r="C17" s="360">
        <v>231</v>
      </c>
      <c r="D17" s="360">
        <v>273</v>
      </c>
      <c r="E17" s="360">
        <v>523</v>
      </c>
      <c r="F17" s="360">
        <v>203</v>
      </c>
      <c r="G17" s="544">
        <v>1230</v>
      </c>
      <c r="H17" s="479">
        <v>602</v>
      </c>
      <c r="I17" s="479">
        <v>393</v>
      </c>
      <c r="J17" s="544">
        <v>592</v>
      </c>
      <c r="L17" s="480"/>
      <c r="M17" s="480"/>
      <c r="N17" s="480"/>
      <c r="P17" s="480"/>
      <c r="Q17" s="480"/>
      <c r="R17" s="480"/>
      <c r="S17" s="480"/>
    </row>
    <row r="18" spans="1:19" s="481" customFormat="1" ht="17.25">
      <c r="A18" s="480"/>
      <c r="B18" s="361" t="s">
        <v>525</v>
      </c>
      <c r="C18" s="360">
        <v>174</v>
      </c>
      <c r="D18" s="360">
        <v>222</v>
      </c>
      <c r="E18" s="360">
        <v>447</v>
      </c>
      <c r="F18" s="360">
        <v>153</v>
      </c>
      <c r="G18" s="444">
        <v>995</v>
      </c>
      <c r="H18" s="360">
        <v>502</v>
      </c>
      <c r="I18" s="360">
        <v>282</v>
      </c>
      <c r="J18" s="444">
        <v>472</v>
      </c>
      <c r="K18" s="480"/>
      <c r="L18" s="480"/>
      <c r="M18" s="480"/>
      <c r="N18" s="480"/>
      <c r="P18" s="480"/>
      <c r="Q18" s="480"/>
      <c r="R18" s="480"/>
      <c r="S18" s="480"/>
    </row>
    <row r="19" spans="1:19" ht="17.25">
      <c r="B19" s="435" t="s">
        <v>526</v>
      </c>
      <c r="C19" s="351">
        <v>0.53</v>
      </c>
      <c r="D19" s="351">
        <v>0.68</v>
      </c>
      <c r="E19" s="351">
        <v>1.37</v>
      </c>
      <c r="F19" s="351">
        <v>0.47</v>
      </c>
      <c r="G19" s="445">
        <v>3.05</v>
      </c>
      <c r="H19" s="351">
        <v>1.54</v>
      </c>
      <c r="I19" s="351">
        <v>0.86</v>
      </c>
      <c r="J19" s="445">
        <v>1.45</v>
      </c>
    </row>
    <row r="20" spans="1:19" collapsed="1">
      <c r="B20" s="435"/>
      <c r="C20" s="359"/>
      <c r="D20" s="359"/>
      <c r="E20" s="359"/>
      <c r="F20" s="359"/>
      <c r="G20" s="443"/>
      <c r="H20" s="359"/>
      <c r="I20" s="359"/>
      <c r="J20" s="443"/>
    </row>
    <row r="21" spans="1:19" ht="17.25">
      <c r="B21" s="649" t="s">
        <v>534</v>
      </c>
      <c r="C21" s="647">
        <v>262</v>
      </c>
      <c r="D21" s="647">
        <v>331</v>
      </c>
      <c r="E21" s="647">
        <v>529</v>
      </c>
      <c r="F21" s="647">
        <v>412</v>
      </c>
      <c r="G21" s="648">
        <v>1535</v>
      </c>
      <c r="H21" s="647">
        <v>805</v>
      </c>
      <c r="I21" s="647">
        <v>662</v>
      </c>
      <c r="J21" s="648">
        <v>804</v>
      </c>
    </row>
    <row r="22" spans="1:19" ht="17.25">
      <c r="B22" s="649" t="s">
        <v>535</v>
      </c>
      <c r="C22" s="647">
        <v>-15</v>
      </c>
      <c r="D22" s="647">
        <v>-608</v>
      </c>
      <c r="E22" s="647">
        <v>-350</v>
      </c>
      <c r="F22" s="647">
        <v>-601</v>
      </c>
      <c r="G22" s="648">
        <v>-1574</v>
      </c>
      <c r="H22" s="647">
        <v>210</v>
      </c>
      <c r="I22" s="647">
        <v>-1322</v>
      </c>
      <c r="J22" s="648">
        <v>-55</v>
      </c>
    </row>
    <row r="23" spans="1:19">
      <c r="B23" s="450" t="s">
        <v>6</v>
      </c>
      <c r="C23" s="451">
        <v>-7</v>
      </c>
      <c r="D23" s="451">
        <v>-18</v>
      </c>
      <c r="E23" s="451">
        <v>-12</v>
      </c>
      <c r="F23" s="451">
        <v>-13</v>
      </c>
      <c r="G23" s="483">
        <v>-50</v>
      </c>
      <c r="H23" s="451">
        <v>0</v>
      </c>
      <c r="I23" s="451">
        <v>-13</v>
      </c>
      <c r="J23" s="483">
        <v>-5</v>
      </c>
    </row>
    <row r="24" spans="1:19">
      <c r="B24" s="596" t="s">
        <v>512</v>
      </c>
      <c r="C24" s="451">
        <v>0</v>
      </c>
      <c r="D24" s="451">
        <v>-614</v>
      </c>
      <c r="E24" s="451">
        <v>-353</v>
      </c>
      <c r="F24" s="451">
        <v>-654</v>
      </c>
      <c r="G24" s="483">
        <v>-1621</v>
      </c>
      <c r="H24" s="451">
        <v>14</v>
      </c>
      <c r="I24" s="451">
        <v>-40</v>
      </c>
      <c r="J24" s="483">
        <v>-5</v>
      </c>
    </row>
    <row r="25" spans="1:19">
      <c r="B25" s="596" t="s">
        <v>513</v>
      </c>
      <c r="C25" s="451">
        <v>0</v>
      </c>
      <c r="D25" s="451">
        <v>20</v>
      </c>
      <c r="E25" s="451">
        <v>-7</v>
      </c>
      <c r="F25" s="451">
        <v>67</v>
      </c>
      <c r="G25" s="483">
        <v>80</v>
      </c>
      <c r="H25" s="451">
        <v>2</v>
      </c>
      <c r="I25" s="451">
        <v>0</v>
      </c>
      <c r="J25" s="483">
        <v>-25</v>
      </c>
    </row>
    <row r="26" spans="1:19">
      <c r="B26" s="596" t="s">
        <v>514</v>
      </c>
      <c r="C26" s="451">
        <v>-8</v>
      </c>
      <c r="D26" s="451">
        <v>4</v>
      </c>
      <c r="E26" s="451">
        <v>23</v>
      </c>
      <c r="F26" s="451">
        <v>0</v>
      </c>
      <c r="G26" s="483">
        <v>18</v>
      </c>
      <c r="H26" s="451">
        <v>194</v>
      </c>
      <c r="I26" s="451">
        <v>-1268</v>
      </c>
      <c r="J26" s="483">
        <v>-19</v>
      </c>
    </row>
    <row r="27" spans="1:19">
      <c r="B27" s="435" t="s">
        <v>136</v>
      </c>
      <c r="C27" s="359">
        <v>-104</v>
      </c>
      <c r="D27" s="359">
        <v>94</v>
      </c>
      <c r="E27" s="359">
        <v>-3</v>
      </c>
      <c r="F27" s="359">
        <v>20</v>
      </c>
      <c r="G27" s="443">
        <v>6</v>
      </c>
      <c r="H27" s="359">
        <v>22</v>
      </c>
      <c r="I27" s="359">
        <v>-34</v>
      </c>
      <c r="J27" s="443">
        <v>9</v>
      </c>
    </row>
    <row r="28" spans="1:19" s="481" customFormat="1">
      <c r="A28" s="480"/>
      <c r="B28" s="361" t="s">
        <v>428</v>
      </c>
      <c r="C28" s="360">
        <v>143</v>
      </c>
      <c r="D28" s="360">
        <v>-183</v>
      </c>
      <c r="E28" s="360">
        <v>177</v>
      </c>
      <c r="F28" s="360">
        <v>-169</v>
      </c>
      <c r="G28" s="444">
        <v>-32</v>
      </c>
      <c r="H28" s="360">
        <v>1037</v>
      </c>
      <c r="I28" s="360">
        <v>-694</v>
      </c>
      <c r="J28" s="444">
        <v>758</v>
      </c>
      <c r="K28" s="480"/>
      <c r="L28" s="480"/>
      <c r="M28" s="480"/>
      <c r="N28" s="480"/>
      <c r="P28" s="480"/>
      <c r="Q28" s="480"/>
      <c r="R28" s="480"/>
      <c r="S28" s="480"/>
    </row>
    <row r="29" spans="1:19">
      <c r="B29" s="450" t="s">
        <v>546</v>
      </c>
      <c r="C29" s="451">
        <v>77</v>
      </c>
      <c r="D29" s="451">
        <v>46</v>
      </c>
      <c r="E29" s="451">
        <v>131</v>
      </c>
      <c r="F29" s="451">
        <v>76</v>
      </c>
      <c r="G29" s="483">
        <v>330</v>
      </c>
      <c r="H29" s="451">
        <v>177</v>
      </c>
      <c r="I29" s="451">
        <v>172</v>
      </c>
      <c r="J29" s="483">
        <v>191</v>
      </c>
    </row>
    <row r="30" spans="1:19">
      <c r="B30" s="450" t="s">
        <v>430</v>
      </c>
      <c r="C30" s="451">
        <v>19</v>
      </c>
      <c r="D30" s="451">
        <v>34</v>
      </c>
      <c r="E30" s="451">
        <v>31</v>
      </c>
      <c r="F30" s="451">
        <v>-232</v>
      </c>
      <c r="G30" s="483">
        <v>-148</v>
      </c>
      <c r="H30" s="451">
        <v>67</v>
      </c>
      <c r="I30" s="451">
        <v>27</v>
      </c>
      <c r="J30" s="483">
        <v>-2</v>
      </c>
    </row>
    <row r="31" spans="1:19">
      <c r="B31" s="435" t="s">
        <v>431</v>
      </c>
      <c r="C31" s="359">
        <v>-102</v>
      </c>
      <c r="D31" s="359">
        <v>-600</v>
      </c>
      <c r="E31" s="359">
        <v>-316</v>
      </c>
      <c r="F31" s="359">
        <v>-28</v>
      </c>
      <c r="G31" s="443">
        <v>-1046</v>
      </c>
      <c r="H31" s="359">
        <v>508</v>
      </c>
      <c r="I31" s="359">
        <v>169</v>
      </c>
      <c r="J31" s="443">
        <v>247</v>
      </c>
    </row>
    <row r="32" spans="1:19">
      <c r="B32" s="435" t="s">
        <v>425</v>
      </c>
      <c r="C32" s="359">
        <v>232</v>
      </c>
      <c r="D32" s="359">
        <v>476</v>
      </c>
      <c r="E32" s="359">
        <v>489</v>
      </c>
      <c r="F32" s="359">
        <v>-90</v>
      </c>
      <c r="G32" s="443">
        <v>1106</v>
      </c>
      <c r="H32" s="359">
        <v>540</v>
      </c>
      <c r="I32" s="359">
        <v>-857</v>
      </c>
      <c r="J32" s="443">
        <v>517</v>
      </c>
    </row>
    <row r="33" spans="2:10">
      <c r="B33" s="435" t="s">
        <v>426</v>
      </c>
      <c r="C33" s="359">
        <v>-4</v>
      </c>
      <c r="D33" s="359">
        <v>-15</v>
      </c>
      <c r="E33" s="359">
        <v>-8</v>
      </c>
      <c r="F33" s="359">
        <v>-29</v>
      </c>
      <c r="G33" s="443">
        <v>-56</v>
      </c>
      <c r="H33" s="359">
        <v>-16</v>
      </c>
      <c r="I33" s="359">
        <v>-14</v>
      </c>
      <c r="J33" s="443">
        <v>-5</v>
      </c>
    </row>
    <row r="34" spans="2:10">
      <c r="B34" s="435" t="s">
        <v>405</v>
      </c>
      <c r="C34" s="359">
        <v>18</v>
      </c>
      <c r="D34" s="359">
        <v>-44</v>
      </c>
      <c r="E34" s="359">
        <v>11</v>
      </c>
      <c r="F34" s="359">
        <v>-21</v>
      </c>
      <c r="G34" s="443">
        <v>-36</v>
      </c>
      <c r="H34" s="359">
        <v>5</v>
      </c>
      <c r="I34" s="359">
        <v>8</v>
      </c>
      <c r="J34" s="443">
        <v>0</v>
      </c>
    </row>
    <row r="35" spans="2:10">
      <c r="B35" s="436" t="s">
        <v>30</v>
      </c>
      <c r="C35" s="359">
        <v>-55</v>
      </c>
      <c r="D35" s="359">
        <v>-45</v>
      </c>
      <c r="E35" s="359">
        <v>-39</v>
      </c>
      <c r="F35" s="359">
        <v>-59</v>
      </c>
      <c r="G35" s="443">
        <v>-198</v>
      </c>
      <c r="H35" s="359">
        <v>-49</v>
      </c>
      <c r="I35" s="359">
        <v>-62</v>
      </c>
      <c r="J35" s="443">
        <v>-66</v>
      </c>
    </row>
    <row r="36" spans="2:10">
      <c r="B36" s="435" t="s">
        <v>411</v>
      </c>
      <c r="C36" s="359">
        <v>88</v>
      </c>
      <c r="D36" s="359">
        <v>-228</v>
      </c>
      <c r="E36" s="359">
        <v>138</v>
      </c>
      <c r="F36" s="359">
        <v>-228</v>
      </c>
      <c r="G36" s="443">
        <v>-230</v>
      </c>
      <c r="H36" s="359">
        <v>988</v>
      </c>
      <c r="I36" s="359">
        <v>-756</v>
      </c>
      <c r="J36" s="443">
        <v>692</v>
      </c>
    </row>
    <row r="37" spans="2:10">
      <c r="B37" s="435" t="s">
        <v>123</v>
      </c>
      <c r="C37" s="359">
        <v>-54</v>
      </c>
      <c r="D37" s="359">
        <v>49</v>
      </c>
      <c r="E37" s="359">
        <v>6</v>
      </c>
      <c r="F37" s="359">
        <v>-45</v>
      </c>
      <c r="G37" s="443">
        <v>21</v>
      </c>
      <c r="H37" s="359">
        <v>17</v>
      </c>
      <c r="I37" s="359">
        <v>-23</v>
      </c>
      <c r="J37" s="443">
        <v>21</v>
      </c>
    </row>
    <row r="38" spans="2:10">
      <c r="B38" s="435" t="s">
        <v>7</v>
      </c>
      <c r="C38" s="359">
        <v>136</v>
      </c>
      <c r="D38" s="359">
        <v>-117</v>
      </c>
      <c r="E38" s="359">
        <v>129</v>
      </c>
      <c r="F38" s="359">
        <v>-331</v>
      </c>
      <c r="G38" s="443">
        <v>-183</v>
      </c>
      <c r="H38" s="359">
        <v>816</v>
      </c>
      <c r="I38" s="359">
        <v>-928</v>
      </c>
      <c r="J38" s="443">
        <v>544</v>
      </c>
    </row>
    <row r="39" spans="2:10" ht="17.25">
      <c r="B39" s="435" t="s">
        <v>527</v>
      </c>
      <c r="C39" s="359">
        <v>95</v>
      </c>
      <c r="D39" s="359">
        <v>-168</v>
      </c>
      <c r="E39" s="359">
        <v>48</v>
      </c>
      <c r="F39" s="359">
        <v>-378</v>
      </c>
      <c r="G39" s="443">
        <v>-403</v>
      </c>
      <c r="H39" s="359">
        <v>712</v>
      </c>
      <c r="I39" s="359">
        <v>-1028</v>
      </c>
      <c r="J39" s="443">
        <v>439</v>
      </c>
    </row>
    <row r="40" spans="2:10">
      <c r="B40" s="435" t="s">
        <v>383</v>
      </c>
      <c r="C40" s="351">
        <v>0.28999999999999998</v>
      </c>
      <c r="D40" s="351">
        <v>-0.51</v>
      </c>
      <c r="E40" s="351">
        <v>0.15</v>
      </c>
      <c r="F40" s="351">
        <v>-1.1599999999999999</v>
      </c>
      <c r="G40" s="445">
        <v>-1.24</v>
      </c>
      <c r="H40" s="351">
        <v>2.1800000000000002</v>
      </c>
      <c r="I40" s="351">
        <v>-3.15</v>
      </c>
      <c r="J40" s="445">
        <v>1.35</v>
      </c>
    </row>
    <row r="41" spans="2:10">
      <c r="G41" s="446"/>
      <c r="I41" s="362"/>
      <c r="J41" s="446"/>
    </row>
    <row r="42" spans="2:10">
      <c r="B42" s="435" t="s">
        <v>8</v>
      </c>
      <c r="C42" s="359">
        <v>579</v>
      </c>
      <c r="D42" s="359">
        <v>1036</v>
      </c>
      <c r="E42" s="359">
        <v>652</v>
      </c>
      <c r="F42" s="359">
        <v>611</v>
      </c>
      <c r="G42" s="443">
        <v>2878</v>
      </c>
      <c r="H42" s="359">
        <v>923</v>
      </c>
      <c r="I42" s="359">
        <v>991</v>
      </c>
      <c r="J42" s="443">
        <v>792</v>
      </c>
    </row>
    <row r="43" spans="2:10">
      <c r="B43" s="435" t="s">
        <v>449</v>
      </c>
      <c r="C43" s="359">
        <v>-145</v>
      </c>
      <c r="D43" s="359">
        <v>551</v>
      </c>
      <c r="E43" s="359">
        <v>239</v>
      </c>
      <c r="F43" s="359">
        <v>436</v>
      </c>
      <c r="G43" s="443">
        <v>1081</v>
      </c>
      <c r="H43" s="359">
        <v>1320</v>
      </c>
      <c r="I43" s="359">
        <v>1329</v>
      </c>
      <c r="J43" s="443">
        <v>478</v>
      </c>
    </row>
    <row r="44" spans="2:10">
      <c r="B44" s="435" t="s">
        <v>446</v>
      </c>
      <c r="C44" s="359">
        <v>-145</v>
      </c>
      <c r="D44" s="359">
        <v>172</v>
      </c>
      <c r="E44" s="359">
        <v>239</v>
      </c>
      <c r="F44" s="359">
        <v>349</v>
      </c>
      <c r="G44" s="443">
        <v>615</v>
      </c>
      <c r="H44" s="359">
        <v>1320</v>
      </c>
      <c r="I44" s="359">
        <v>747</v>
      </c>
      <c r="J44" s="443">
        <v>478</v>
      </c>
    </row>
    <row r="45" spans="2:10">
      <c r="B45" s="435" t="s">
        <v>116</v>
      </c>
      <c r="C45" s="364">
        <v>1.78</v>
      </c>
      <c r="D45" s="364">
        <v>3.17</v>
      </c>
      <c r="E45" s="364">
        <v>2</v>
      </c>
      <c r="F45" s="364">
        <v>1.87</v>
      </c>
      <c r="G45" s="447">
        <v>8.82</v>
      </c>
      <c r="H45" s="364">
        <v>2.83</v>
      </c>
      <c r="I45" s="364">
        <v>3.04</v>
      </c>
      <c r="J45" s="447">
        <v>2.4300000000000002</v>
      </c>
    </row>
    <row r="46" spans="2:10">
      <c r="B46" s="435"/>
      <c r="C46" s="364"/>
      <c r="D46" s="364"/>
      <c r="E46" s="364"/>
      <c r="F46" s="364"/>
      <c r="G46" s="447"/>
      <c r="H46" s="364"/>
      <c r="I46" s="364"/>
      <c r="J46" s="446"/>
    </row>
    <row r="47" spans="2:10">
      <c r="B47" s="435" t="s">
        <v>9</v>
      </c>
      <c r="C47" s="359">
        <v>4181</v>
      </c>
      <c r="D47" s="359">
        <v>3992</v>
      </c>
      <c r="E47" s="359">
        <v>3743</v>
      </c>
      <c r="F47" s="359">
        <v>2969</v>
      </c>
      <c r="G47" s="443">
        <v>2969</v>
      </c>
      <c r="H47" s="359">
        <v>1669</v>
      </c>
      <c r="I47" s="359">
        <v>943</v>
      </c>
      <c r="J47" s="443">
        <v>450</v>
      </c>
    </row>
    <row r="48" spans="2:10">
      <c r="B48" s="435" t="s">
        <v>384</v>
      </c>
      <c r="C48" s="409">
        <v>29</v>
      </c>
      <c r="D48" s="409">
        <v>29</v>
      </c>
      <c r="E48" s="409">
        <v>27</v>
      </c>
      <c r="F48" s="409">
        <v>21</v>
      </c>
      <c r="G48" s="448">
        <v>21</v>
      </c>
      <c r="H48" s="409">
        <v>12</v>
      </c>
      <c r="I48" s="409">
        <v>7</v>
      </c>
      <c r="J48" s="448">
        <v>3</v>
      </c>
    </row>
    <row r="49" spans="1:19">
      <c r="B49" s="435" t="s">
        <v>140</v>
      </c>
      <c r="C49" s="359">
        <v>467</v>
      </c>
      <c r="D49" s="359">
        <v>489</v>
      </c>
      <c r="E49" s="359">
        <v>403</v>
      </c>
      <c r="F49" s="359">
        <v>519</v>
      </c>
      <c r="G49" s="443">
        <v>1878</v>
      </c>
      <c r="H49" s="359">
        <v>302</v>
      </c>
      <c r="I49" s="359">
        <v>397</v>
      </c>
      <c r="J49" s="443">
        <v>388</v>
      </c>
    </row>
    <row r="50" spans="1:19" ht="17.25">
      <c r="B50" s="435" t="s">
        <v>528</v>
      </c>
      <c r="C50" s="359">
        <v>7</v>
      </c>
      <c r="D50" s="359">
        <v>7</v>
      </c>
      <c r="E50" s="359">
        <v>7</v>
      </c>
      <c r="F50" s="359">
        <v>7</v>
      </c>
      <c r="G50" s="443">
        <v>7</v>
      </c>
      <c r="H50" s="359">
        <v>10</v>
      </c>
      <c r="I50" s="359">
        <v>11</v>
      </c>
      <c r="J50" s="443">
        <v>12</v>
      </c>
    </row>
    <row r="51" spans="1:19">
      <c r="B51" s="435" t="s">
        <v>169</v>
      </c>
      <c r="C51" s="359">
        <v>-6</v>
      </c>
      <c r="D51" s="359">
        <v>-9</v>
      </c>
      <c r="E51" s="359">
        <v>-6</v>
      </c>
      <c r="F51" s="359">
        <v>0</v>
      </c>
      <c r="G51" s="443">
        <v>0</v>
      </c>
      <c r="H51" s="359">
        <v>3</v>
      </c>
      <c r="I51" s="359">
        <v>-1</v>
      </c>
      <c r="J51" s="443">
        <v>1</v>
      </c>
    </row>
    <row r="52" spans="1:19">
      <c r="B52" s="399" t="s">
        <v>301</v>
      </c>
      <c r="C52" s="359">
        <v>-9</v>
      </c>
      <c r="D52" s="359">
        <v>-12</v>
      </c>
      <c r="E52" s="359">
        <v>-8</v>
      </c>
      <c r="F52" s="359">
        <v>-1</v>
      </c>
      <c r="G52" s="443">
        <v>-1</v>
      </c>
      <c r="H52" s="359">
        <v>4</v>
      </c>
      <c r="I52" s="359">
        <v>-2</v>
      </c>
      <c r="J52" s="443">
        <v>1</v>
      </c>
    </row>
    <row r="53" spans="1:19">
      <c r="G53" s="446"/>
      <c r="I53" s="362"/>
      <c r="J53" s="446"/>
    </row>
    <row r="54" spans="1:19" s="7" customFormat="1">
      <c r="B54" s="436" t="s">
        <v>115</v>
      </c>
      <c r="C54" s="365">
        <v>23687</v>
      </c>
      <c r="D54" s="365">
        <v>23172</v>
      </c>
      <c r="E54" s="365">
        <v>22838</v>
      </c>
      <c r="F54" s="365">
        <v>22544</v>
      </c>
      <c r="G54" s="449">
        <v>22544</v>
      </c>
      <c r="H54" s="365">
        <v>22210</v>
      </c>
      <c r="I54" s="365">
        <v>21140</v>
      </c>
      <c r="J54" s="449">
        <v>20747</v>
      </c>
      <c r="L54" s="412"/>
      <c r="M54" s="412"/>
      <c r="N54" s="412"/>
      <c r="P54" s="412"/>
      <c r="Q54" s="412"/>
      <c r="R54" s="412"/>
      <c r="S54" s="412"/>
    </row>
    <row r="55" spans="1:19">
      <c r="B55" s="412"/>
      <c r="C55" s="412"/>
      <c r="D55" s="412"/>
      <c r="E55" s="412"/>
      <c r="F55" s="412"/>
      <c r="G55" s="412"/>
      <c r="H55" s="412"/>
      <c r="I55" s="412"/>
      <c r="J55" s="412"/>
    </row>
    <row r="56" spans="1:19" s="334" customFormat="1" ht="14.25" customHeight="1">
      <c r="A56" s="370"/>
      <c r="B56" s="680" t="s">
        <v>493</v>
      </c>
      <c r="C56" s="680"/>
      <c r="D56" s="680"/>
      <c r="E56" s="680"/>
      <c r="F56" s="680"/>
      <c r="G56" s="680"/>
      <c r="H56" s="680"/>
      <c r="I56" s="652"/>
      <c r="J56" s="652"/>
      <c r="K56" s="370"/>
      <c r="L56" s="370"/>
      <c r="M56" s="370"/>
      <c r="N56" s="370"/>
      <c r="P56" s="370"/>
      <c r="Q56" s="370"/>
      <c r="R56" s="370"/>
      <c r="S56" s="370"/>
    </row>
    <row r="57" spans="1:19" s="334" customFormat="1" ht="14.25">
      <c r="A57" s="370"/>
      <c r="B57" s="680" t="s">
        <v>492</v>
      </c>
      <c r="C57" s="680"/>
      <c r="D57" s="680"/>
      <c r="E57" s="680"/>
      <c r="F57" s="680"/>
      <c r="G57" s="680"/>
      <c r="H57" s="680"/>
      <c r="I57" s="652"/>
      <c r="J57" s="652"/>
      <c r="K57" s="370"/>
      <c r="L57" s="370"/>
      <c r="M57" s="370"/>
      <c r="N57" s="370"/>
      <c r="P57" s="370"/>
      <c r="Q57" s="370"/>
      <c r="R57" s="370"/>
      <c r="S57" s="370"/>
    </row>
    <row r="58" spans="1:19" s="334" customFormat="1" ht="14.25" customHeight="1">
      <c r="A58" s="370"/>
      <c r="B58" s="680" t="s">
        <v>551</v>
      </c>
      <c r="C58" s="680"/>
      <c r="D58" s="680"/>
      <c r="E58" s="680"/>
      <c r="F58" s="680"/>
      <c r="G58" s="680"/>
      <c r="H58" s="680"/>
      <c r="I58" s="652"/>
      <c r="J58" s="370"/>
      <c r="K58" s="370"/>
      <c r="L58" s="370"/>
      <c r="M58" s="370"/>
      <c r="N58" s="370"/>
      <c r="P58" s="370"/>
      <c r="Q58" s="370"/>
      <c r="R58" s="370"/>
      <c r="S58" s="370"/>
    </row>
    <row r="59" spans="1:19" s="334" customFormat="1" ht="14.25" customHeight="1">
      <c r="A59" s="370"/>
      <c r="B59" s="680" t="s">
        <v>529</v>
      </c>
      <c r="C59" s="680"/>
      <c r="D59" s="680"/>
      <c r="E59" s="680"/>
      <c r="F59" s="680"/>
      <c r="G59" s="680"/>
      <c r="H59" s="680"/>
      <c r="I59" s="652"/>
      <c r="J59" s="370"/>
      <c r="K59" s="370"/>
      <c r="L59" s="370"/>
      <c r="M59" s="370"/>
      <c r="N59" s="370"/>
      <c r="P59" s="370"/>
      <c r="Q59" s="370"/>
      <c r="R59" s="370"/>
      <c r="S59" s="370"/>
    </row>
    <row r="60" spans="1:19" s="334" customFormat="1" ht="28.5" customHeight="1">
      <c r="A60" s="370"/>
      <c r="B60" s="680" t="s">
        <v>530</v>
      </c>
      <c r="C60" s="680"/>
      <c r="D60" s="680"/>
      <c r="E60" s="680"/>
      <c r="F60" s="680"/>
      <c r="G60" s="680"/>
      <c r="H60" s="680"/>
      <c r="I60" s="652"/>
      <c r="J60" s="370"/>
      <c r="K60" s="370"/>
      <c r="L60" s="370"/>
      <c r="M60" s="370"/>
      <c r="N60" s="370"/>
      <c r="P60" s="370"/>
      <c r="Q60" s="370"/>
      <c r="R60" s="370"/>
      <c r="S60" s="370"/>
    </row>
    <row r="61" spans="1:19" s="334" customFormat="1" ht="15" customHeight="1">
      <c r="A61" s="370"/>
      <c r="B61" s="679"/>
      <c r="C61" s="679"/>
      <c r="D61" s="679"/>
      <c r="E61" s="679"/>
      <c r="F61" s="679"/>
      <c r="G61" s="679"/>
      <c r="H61" s="679"/>
      <c r="I61" s="679"/>
      <c r="J61" s="370"/>
      <c r="K61" s="370"/>
      <c r="L61" s="370"/>
      <c r="M61" s="370"/>
      <c r="N61" s="370"/>
      <c r="P61" s="370"/>
      <c r="Q61" s="370"/>
      <c r="R61" s="370"/>
      <c r="S61" s="370"/>
    </row>
    <row r="62" spans="1:19" s="334" customFormat="1">
      <c r="A62" s="370"/>
      <c r="B62" s="392"/>
      <c r="C62" s="392"/>
      <c r="D62" s="392"/>
      <c r="E62" s="392"/>
      <c r="F62" s="392"/>
      <c r="G62" s="392"/>
      <c r="H62" s="392"/>
      <c r="I62" s="392"/>
      <c r="J62" s="392"/>
      <c r="K62" s="370"/>
      <c r="L62" s="370"/>
      <c r="M62" s="370"/>
      <c r="N62" s="370"/>
      <c r="P62" s="370"/>
      <c r="Q62" s="370"/>
      <c r="R62" s="370"/>
      <c r="S62" s="370"/>
    </row>
    <row r="63" spans="1:19" s="334" customFormat="1" ht="14.25">
      <c r="A63" s="370"/>
      <c r="B63" s="362"/>
      <c r="C63" s="362"/>
      <c r="D63" s="362"/>
      <c r="E63" s="362"/>
      <c r="F63" s="362"/>
      <c r="G63" s="362"/>
      <c r="H63" s="362"/>
      <c r="I63" s="362"/>
      <c r="J63" s="362"/>
      <c r="K63" s="370"/>
      <c r="L63" s="370"/>
      <c r="M63" s="370"/>
      <c r="N63" s="370"/>
      <c r="P63" s="370"/>
      <c r="Q63" s="370"/>
      <c r="R63" s="370"/>
      <c r="S63" s="370"/>
    </row>
    <row r="64" spans="1:19" s="334" customFormat="1" ht="14.25">
      <c r="A64" s="370"/>
      <c r="B64" s="362"/>
      <c r="C64" s="362"/>
      <c r="D64" s="362"/>
      <c r="E64" s="362"/>
      <c r="F64" s="362"/>
      <c r="G64" s="362"/>
      <c r="H64" s="362"/>
      <c r="I64" s="362"/>
      <c r="J64" s="362"/>
      <c r="K64" s="370"/>
      <c r="L64" s="370"/>
      <c r="M64" s="370"/>
      <c r="N64" s="370"/>
      <c r="P64" s="370"/>
      <c r="Q64" s="370"/>
      <c r="R64" s="370"/>
      <c r="S64" s="370"/>
    </row>
    <row r="65" spans="1:19" s="334" customFormat="1" ht="14.25">
      <c r="A65" s="370"/>
      <c r="B65" s="362"/>
      <c r="C65" s="362"/>
      <c r="D65" s="362"/>
      <c r="E65" s="362"/>
      <c r="F65" s="362"/>
      <c r="G65" s="362"/>
      <c r="H65" s="362"/>
      <c r="I65" s="362"/>
      <c r="J65" s="362"/>
      <c r="K65" s="370"/>
      <c r="L65" s="370"/>
      <c r="M65" s="370"/>
      <c r="N65" s="370"/>
      <c r="P65" s="370"/>
      <c r="Q65" s="370"/>
      <c r="R65" s="370"/>
      <c r="S65" s="370"/>
    </row>
    <row r="66" spans="1:19" s="334" customFormat="1" ht="14.25">
      <c r="A66" s="370"/>
      <c r="B66" s="362"/>
      <c r="C66" s="362"/>
      <c r="D66" s="362"/>
      <c r="E66" s="362"/>
      <c r="F66" s="362"/>
      <c r="G66" s="362"/>
      <c r="H66" s="362"/>
      <c r="I66" s="362"/>
      <c r="J66" s="362"/>
      <c r="K66" s="370"/>
      <c r="L66" s="370"/>
      <c r="M66" s="370"/>
      <c r="N66" s="370"/>
      <c r="P66" s="370"/>
      <c r="Q66" s="370"/>
      <c r="R66" s="370"/>
      <c r="S66" s="370"/>
    </row>
    <row r="67" spans="1:19" s="334" customFormat="1" ht="14.25">
      <c r="A67" s="370"/>
      <c r="B67" s="362"/>
      <c r="C67" s="362"/>
      <c r="D67" s="362"/>
      <c r="E67" s="362"/>
      <c r="F67" s="362"/>
      <c r="G67" s="362"/>
      <c r="H67" s="362"/>
      <c r="I67" s="362"/>
      <c r="J67" s="362"/>
      <c r="K67" s="370"/>
      <c r="L67" s="370"/>
      <c r="M67" s="370"/>
      <c r="N67" s="370"/>
      <c r="P67" s="370"/>
      <c r="Q67" s="370"/>
      <c r="R67" s="370"/>
      <c r="S67" s="370"/>
    </row>
    <row r="68" spans="1:19" s="334" customFormat="1" ht="14.25">
      <c r="A68" s="370"/>
      <c r="B68" s="362"/>
      <c r="C68" s="362"/>
      <c r="D68" s="362"/>
      <c r="E68" s="362"/>
      <c r="F68" s="362"/>
      <c r="G68" s="362"/>
      <c r="H68" s="362"/>
      <c r="I68" s="362"/>
      <c r="J68" s="362"/>
      <c r="K68" s="370"/>
      <c r="L68" s="370"/>
      <c r="M68" s="370"/>
      <c r="N68" s="370"/>
      <c r="P68" s="370"/>
      <c r="Q68" s="370"/>
      <c r="R68" s="370"/>
      <c r="S68" s="370"/>
    </row>
    <row r="69" spans="1:19" s="334" customFormat="1" ht="14.25">
      <c r="A69" s="370"/>
      <c r="B69" s="362"/>
      <c r="C69" s="362"/>
      <c r="D69" s="362"/>
      <c r="E69" s="362"/>
      <c r="F69" s="362"/>
      <c r="G69" s="362"/>
      <c r="H69" s="362"/>
      <c r="I69" s="362"/>
      <c r="J69" s="362"/>
      <c r="K69" s="370"/>
      <c r="L69" s="370"/>
      <c r="M69" s="370"/>
      <c r="N69" s="370"/>
      <c r="P69" s="370"/>
      <c r="Q69" s="370"/>
      <c r="R69" s="370"/>
      <c r="S69" s="370"/>
    </row>
    <row r="70" spans="1:19" s="334" customFormat="1" ht="14.25">
      <c r="A70" s="370"/>
      <c r="B70" s="362"/>
      <c r="C70" s="362"/>
      <c r="D70" s="362"/>
      <c r="E70" s="362"/>
      <c r="F70" s="362"/>
      <c r="G70" s="362"/>
      <c r="H70" s="362"/>
      <c r="I70" s="362"/>
      <c r="J70" s="362"/>
      <c r="K70" s="370"/>
      <c r="L70" s="370"/>
      <c r="M70" s="370"/>
      <c r="N70" s="370"/>
      <c r="P70" s="370"/>
      <c r="Q70" s="370"/>
      <c r="R70" s="370"/>
      <c r="S70" s="370"/>
    </row>
    <row r="71" spans="1:19" s="334" customFormat="1" ht="14.25">
      <c r="A71" s="370"/>
      <c r="B71" s="362"/>
      <c r="C71" s="362"/>
      <c r="D71" s="362"/>
      <c r="E71" s="362"/>
      <c r="F71" s="362"/>
      <c r="G71" s="362"/>
      <c r="H71" s="362"/>
      <c r="I71" s="362"/>
      <c r="J71" s="362"/>
      <c r="K71" s="370"/>
      <c r="L71" s="370"/>
      <c r="M71" s="370"/>
      <c r="N71" s="370"/>
      <c r="P71" s="370"/>
      <c r="Q71" s="370"/>
      <c r="R71" s="370"/>
      <c r="S71" s="370"/>
    </row>
    <row r="72" spans="1:19" s="334" customFormat="1" ht="14.25">
      <c r="A72" s="370"/>
      <c r="B72" s="362"/>
      <c r="C72" s="362"/>
      <c r="D72" s="362"/>
      <c r="E72" s="362"/>
      <c r="F72" s="362"/>
      <c r="G72" s="362"/>
      <c r="H72" s="362"/>
      <c r="I72" s="362"/>
      <c r="J72" s="362"/>
      <c r="K72" s="370"/>
      <c r="L72" s="370"/>
      <c r="M72" s="370"/>
      <c r="N72" s="370"/>
      <c r="P72" s="370"/>
      <c r="Q72" s="370"/>
      <c r="R72" s="370"/>
      <c r="S72" s="370"/>
    </row>
    <row r="73" spans="1:19" s="334" customFormat="1" ht="14.25">
      <c r="A73" s="370"/>
      <c r="B73" s="362"/>
      <c r="C73" s="362"/>
      <c r="D73" s="362"/>
      <c r="E73" s="362"/>
      <c r="F73" s="362"/>
      <c r="G73" s="362"/>
      <c r="H73" s="362"/>
      <c r="I73" s="362"/>
      <c r="J73" s="362"/>
      <c r="K73" s="370"/>
      <c r="L73" s="370"/>
      <c r="M73" s="370"/>
      <c r="N73" s="370"/>
      <c r="P73" s="370"/>
      <c r="Q73" s="370"/>
      <c r="R73" s="370"/>
      <c r="S73" s="370"/>
    </row>
    <row r="74" spans="1:19" s="334" customFormat="1" ht="14.25">
      <c r="A74" s="370"/>
      <c r="B74" s="362"/>
      <c r="C74" s="362"/>
      <c r="D74" s="362"/>
      <c r="E74" s="362"/>
      <c r="F74" s="362"/>
      <c r="G74" s="362"/>
      <c r="H74" s="362"/>
      <c r="I74" s="362"/>
      <c r="J74" s="362"/>
      <c r="K74" s="370"/>
      <c r="L74" s="370"/>
      <c r="M74" s="370"/>
      <c r="N74" s="370"/>
      <c r="P74" s="370"/>
      <c r="Q74" s="370"/>
      <c r="R74" s="370"/>
      <c r="S74" s="370"/>
    </row>
    <row r="75" spans="1:19" s="334" customFormat="1" ht="14.25">
      <c r="A75" s="370"/>
      <c r="B75" s="362"/>
      <c r="C75" s="362"/>
      <c r="D75" s="362"/>
      <c r="E75" s="362"/>
      <c r="F75" s="362"/>
      <c r="G75" s="362"/>
      <c r="H75" s="362"/>
      <c r="I75" s="362"/>
      <c r="J75" s="362"/>
      <c r="K75" s="370"/>
      <c r="L75" s="370"/>
      <c r="M75" s="370"/>
      <c r="N75" s="370"/>
      <c r="P75" s="370"/>
      <c r="Q75" s="370"/>
      <c r="R75" s="370"/>
      <c r="S75" s="370"/>
    </row>
    <row r="76" spans="1:19" s="334" customFormat="1" ht="14.25">
      <c r="A76" s="370"/>
      <c r="B76" s="362"/>
      <c r="C76" s="362"/>
      <c r="D76" s="362"/>
      <c r="E76" s="362"/>
      <c r="F76" s="362"/>
      <c r="G76" s="362"/>
      <c r="H76" s="362"/>
      <c r="I76" s="362"/>
      <c r="J76" s="362"/>
      <c r="K76" s="370"/>
      <c r="L76" s="370"/>
      <c r="M76" s="370"/>
      <c r="N76" s="370"/>
      <c r="P76" s="370"/>
      <c r="Q76" s="370"/>
      <c r="R76" s="370"/>
      <c r="S76" s="370"/>
    </row>
    <row r="77" spans="1:19">
      <c r="I77" s="362"/>
      <c r="J77" s="362"/>
    </row>
  </sheetData>
  <mergeCells count="6">
    <mergeCell ref="B61:I61"/>
    <mergeCell ref="B56:H56"/>
    <mergeCell ref="B57:H57"/>
    <mergeCell ref="B58:H58"/>
    <mergeCell ref="B59:H59"/>
    <mergeCell ref="B60:H60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6" fitToHeight="0" orientation="portrait" r:id="rId1"/>
  <headerFooter alignWithMargins="0">
    <oddHeader>&amp;CNovember 9, 2017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tabColor rgb="FFFFC000"/>
    <pageSetUpPr fitToPage="1"/>
  </sheetPr>
  <dimension ref="A1:G37"/>
  <sheetViews>
    <sheetView zoomScaleNormal="100" workbookViewId="0">
      <selection activeCell="B5" sqref="B5"/>
    </sheetView>
  </sheetViews>
  <sheetFormatPr defaultColWidth="11.42578125" defaultRowHeight="15"/>
  <cols>
    <col min="1" max="1" width="79.85546875" style="6" customWidth="1"/>
    <col min="2" max="2" width="12.7109375" style="6" customWidth="1"/>
    <col min="3" max="3" width="14.42578125" style="6" customWidth="1"/>
    <col min="4" max="4" width="12" style="6" customWidth="1"/>
    <col min="5" max="5" width="11.42578125" style="6"/>
    <col min="6" max="6" width="16.5703125" style="6" customWidth="1"/>
    <col min="7" max="8" width="11.42578125" style="6"/>
    <col min="9" max="9" width="37.5703125" style="6" customWidth="1"/>
    <col min="10" max="16384" width="11.42578125" style="6"/>
  </cols>
  <sheetData>
    <row r="1" spans="1:5" ht="15" customHeight="1" thickBot="1">
      <c r="A1" s="301" t="e">
        <f>INDEX(#REF!,MATCH(17972950,#REF!,0),Sy_nop)</f>
        <v>#REF!</v>
      </c>
      <c r="B1" s="301"/>
      <c r="C1" s="301"/>
      <c r="D1" s="301"/>
      <c r="E1" s="8"/>
    </row>
    <row r="2" spans="1:5">
      <c r="A2" s="315" t="s">
        <v>451</v>
      </c>
      <c r="B2" s="315"/>
      <c r="C2" s="315"/>
      <c r="D2" s="316"/>
      <c r="E2" s="8"/>
    </row>
    <row r="3" spans="1:5" ht="15.75" thickBot="1">
      <c r="A3" s="331"/>
      <c r="B3" s="332" t="e">
        <f>#REF!</f>
        <v>#REF!</v>
      </c>
      <c r="C3" s="328" t="e">
        <f>#REF!</f>
        <v>#REF!</v>
      </c>
      <c r="D3" s="330" t="s">
        <v>134</v>
      </c>
      <c r="E3" s="8"/>
    </row>
    <row r="4" spans="1:5">
      <c r="A4" s="313" t="e">
        <f>INDEX(#REF!,MATCH(87508851,#REF!,0),Sy_nop)</f>
        <v>#REF!</v>
      </c>
      <c r="B4" s="317">
        <v>1192</v>
      </c>
      <c r="C4" s="314">
        <v>653</v>
      </c>
      <c r="D4" s="314">
        <v>83</v>
      </c>
      <c r="E4" s="8"/>
    </row>
    <row r="5" spans="1:5">
      <c r="A5" s="312" t="e">
        <f>INDEX(#REF!,MATCH(-156010514,#REF!,0),Sy_nop)</f>
        <v>#REF!</v>
      </c>
      <c r="B5" s="317">
        <v>923</v>
      </c>
      <c r="C5" s="314">
        <v>579</v>
      </c>
      <c r="D5" s="314">
        <v>59</v>
      </c>
      <c r="E5" s="8"/>
    </row>
    <row r="6" spans="1:5">
      <c r="A6" s="312" t="e">
        <f>INDEX(#REF!,MATCH(-120025,#REF!,0),Sy_nop)</f>
        <v>#REF!</v>
      </c>
      <c r="B6" s="317">
        <v>397</v>
      </c>
      <c r="C6" s="314">
        <v>-724</v>
      </c>
      <c r="D6" s="314" t="e">
        <f>INDEX(#REF!,MATCH(141253032,#REF!,0),Sy_nop)</f>
        <v>#REF!</v>
      </c>
      <c r="E6" s="8"/>
    </row>
    <row r="7" spans="1:5">
      <c r="A7" s="312" t="e">
        <f>INDEX(#REF!,MATCH(-186330826,#REF!,0),Sy_nop)</f>
        <v>#REF!</v>
      </c>
      <c r="B7" s="317">
        <v>1320</v>
      </c>
      <c r="C7" s="314">
        <v>-145</v>
      </c>
      <c r="D7" s="314" t="e">
        <f>INDEX(#REF!,MATCH(141253032,#REF!,0),Sy_nop)</f>
        <v>#REF!</v>
      </c>
      <c r="E7" s="8"/>
    </row>
    <row r="8" spans="1:5">
      <c r="A8" s="312" t="e">
        <f>INDEX(#REF!,MATCH(145153082,#REF!,0),Sy_nop)</f>
        <v>#REF!</v>
      </c>
      <c r="B8" s="317">
        <v>-127</v>
      </c>
      <c r="C8" s="314">
        <v>-32</v>
      </c>
      <c r="D8" s="314" t="e">
        <f>INDEX(#REF!,MATCH(141253032,#REF!,0),Sy_nop)</f>
        <v>#REF!</v>
      </c>
      <c r="E8" s="8"/>
    </row>
    <row r="9" spans="1:5">
      <c r="A9" s="312" t="e">
        <f>INDEX(#REF!,MATCH(28235624,#REF!,0),Sy_nop)</f>
        <v>#REF!</v>
      </c>
      <c r="B9" s="317">
        <v>-15</v>
      </c>
      <c r="C9" s="314">
        <v>-2</v>
      </c>
      <c r="D9" s="314" t="e">
        <f>INDEX(#REF!,MATCH(141253032,#REF!,0),Sy_nop)</f>
        <v>#REF!</v>
      </c>
      <c r="E9" s="8"/>
    </row>
    <row r="10" spans="1:5">
      <c r="A10" s="312" t="e">
        <f>INDEX(#REF!,MATCH(168085900,#REF!,0),Sy_nop)</f>
        <v>#REF!</v>
      </c>
      <c r="B10" s="317">
        <v>1179</v>
      </c>
      <c r="C10" s="314">
        <v>-179</v>
      </c>
      <c r="D10" s="314" t="e">
        <f>INDEX(#REF!,MATCH(141253032,#REF!,0),Sy_nop)</f>
        <v>#REF!</v>
      </c>
      <c r="E10" s="8"/>
    </row>
    <row r="11" spans="1:5">
      <c r="A11" s="312" t="e">
        <f>INDEX(#REF!,MATCH(-48454992,#REF!,0),Sy_nop)</f>
        <v>#REF!</v>
      </c>
      <c r="B11" s="317">
        <v>2314</v>
      </c>
      <c r="C11" s="314">
        <v>1348</v>
      </c>
      <c r="D11" s="314">
        <v>72</v>
      </c>
      <c r="E11" s="8"/>
    </row>
    <row r="12" spans="1:5">
      <c r="A12" s="321" t="e">
        <f>INDEX(#REF!,MATCH(-192619560,#REF!,0),Sy_nop)</f>
        <v>#REF!</v>
      </c>
      <c r="B12" s="322">
        <v>3493</v>
      </c>
      <c r="C12" s="323">
        <v>1169</v>
      </c>
      <c r="D12" s="323">
        <v>199</v>
      </c>
      <c r="E12" s="8"/>
    </row>
    <row r="13" spans="1:5">
      <c r="A13" s="312" t="e">
        <f>INDEX(#REF!,MATCH(-19261546,#REF!,0),Sy_nop)</f>
        <v>#REF!</v>
      </c>
      <c r="B13" s="317">
        <v>370</v>
      </c>
      <c r="C13" s="314">
        <v>0</v>
      </c>
      <c r="D13" s="314" t="e">
        <f>INDEX(#REF!,MATCH(163300615,#REF!,0),Sy_nop)</f>
        <v>#REF!</v>
      </c>
      <c r="E13" s="8"/>
    </row>
    <row r="14" spans="1:5" ht="15.75" thickBot="1">
      <c r="A14" s="320" t="e">
        <f>INDEX(#REF!,MATCH(-62240412,#REF!,0),Sy_nop)</f>
        <v>#REF!</v>
      </c>
      <c r="B14" s="318">
        <v>3123</v>
      </c>
      <c r="C14" s="319">
        <v>1169</v>
      </c>
      <c r="D14" s="319">
        <v>167</v>
      </c>
      <c r="E14" s="8"/>
    </row>
    <row r="15" spans="1:5" ht="13.5" customHeight="1" thickBot="1">
      <c r="A15" s="303" t="e">
        <f>INDEX(#REF!,MATCH(173888326,#REF!,0),Sy_nop)</f>
        <v>#REF!</v>
      </c>
      <c r="B15" s="318">
        <v>1320</v>
      </c>
      <c r="C15" s="319">
        <v>-145</v>
      </c>
      <c r="D15" s="319" t="e">
        <f>INDEX(#REF!,MATCH(141253032,#REF!,0),Sy_nop)</f>
        <v>#REF!</v>
      </c>
      <c r="E15" s="8"/>
    </row>
    <row r="16" spans="1:5" ht="13.5" customHeight="1" thickBot="1">
      <c r="A16" s="303" t="e">
        <f>INDEX(#REF!,MATCH(138960131,#REF!,0),Sy_nop)</f>
        <v>#REF!</v>
      </c>
      <c r="B16" s="318">
        <v>1320</v>
      </c>
      <c r="C16" s="319">
        <v>-145</v>
      </c>
      <c r="D16" s="319" t="e">
        <f>INDEX(#REF!,MATCH(141253032,#REF!,0),Sy_nop)</f>
        <v>#REF!</v>
      </c>
      <c r="E16" s="8"/>
    </row>
    <row r="17" spans="1:6">
      <c r="A17" s="310"/>
      <c r="B17" s="311"/>
      <c r="C17" s="311"/>
      <c r="D17" s="311"/>
      <c r="E17" s="8"/>
    </row>
    <row r="18" spans="1:6">
      <c r="A18" s="8"/>
      <c r="B18" s="8"/>
      <c r="C18" s="8"/>
      <c r="D18" s="8"/>
      <c r="E18" s="8"/>
    </row>
    <row r="19" spans="1:6">
      <c r="A19" s="8"/>
      <c r="B19" s="8"/>
      <c r="C19" s="8"/>
      <c r="D19" s="8"/>
      <c r="E19" s="8"/>
    </row>
    <row r="27" spans="1:6">
      <c r="A27" s="278"/>
      <c r="B27"/>
      <c r="C27"/>
      <c r="D27"/>
      <c r="E27"/>
      <c r="F27"/>
    </row>
    <row r="28" spans="1:6">
      <c r="A28" s="277"/>
      <c r="B28"/>
      <c r="C28"/>
      <c r="D28"/>
      <c r="E28"/>
      <c r="F28"/>
    </row>
    <row r="36" spans="1:7">
      <c r="A36" s="279"/>
      <c r="B36"/>
      <c r="C36"/>
      <c r="D36"/>
      <c r="E36"/>
      <c r="F36"/>
      <c r="G36"/>
    </row>
    <row r="37" spans="1:7">
      <c r="A37" s="276"/>
      <c r="B37"/>
      <c r="C37"/>
      <c r="D37"/>
      <c r="E37"/>
      <c r="F37"/>
      <c r="G37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09"/>
  <sheetViews>
    <sheetView view="pageBreakPreview" zoomScaleNormal="85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1" bestFit="1" customWidth="1"/>
    <col min="2" max="2" width="46.140625" style="362" customWidth="1"/>
    <col min="3" max="9" width="10.7109375" style="362" customWidth="1"/>
    <col min="10" max="10" width="10.7109375" style="363" customWidth="1"/>
    <col min="11" max="16" width="11.42578125" style="370"/>
    <col min="18" max="20" width="11.42578125" style="370"/>
    <col min="21" max="16384" width="11.42578125" style="354"/>
  </cols>
  <sheetData>
    <row r="1" spans="1:24" s="592" customFormat="1" ht="30" customHeight="1" collapsed="1">
      <c r="A1"/>
      <c r="B1" s="440" t="s">
        <v>120</v>
      </c>
      <c r="C1" s="595"/>
      <c r="D1" s="595"/>
      <c r="E1" s="595"/>
      <c r="F1" s="595"/>
      <c r="G1" s="595"/>
      <c r="H1" s="595"/>
      <c r="I1" s="595"/>
      <c r="J1" s="595"/>
      <c r="K1" s="524"/>
      <c r="L1" s="524"/>
      <c r="M1" s="524"/>
      <c r="N1" s="524"/>
      <c r="O1" s="524"/>
      <c r="P1" s="524"/>
      <c r="R1" s="524"/>
      <c r="S1" s="524"/>
      <c r="T1" s="524"/>
    </row>
    <row r="2" spans="1:24" s="370" customFormat="1">
      <c r="A2"/>
      <c r="B2" s="452"/>
      <c r="C2" s="452"/>
    </row>
    <row r="3" spans="1:24" s="370" customFormat="1">
      <c r="A3"/>
      <c r="B3" s="452"/>
      <c r="C3" s="452"/>
    </row>
    <row r="4" spans="1:24" ht="15" customHeight="1" thickBot="1">
      <c r="B4" s="353" t="s">
        <v>187</v>
      </c>
      <c r="C4" s="437"/>
      <c r="D4" s="437"/>
      <c r="E4" s="437"/>
      <c r="F4" s="437"/>
      <c r="G4" s="437"/>
      <c r="H4" s="437"/>
      <c r="I4" s="646"/>
      <c r="J4" s="646"/>
    </row>
    <row r="5" spans="1:24" ht="15" customHeight="1">
      <c r="B5" s="367" t="s">
        <v>450</v>
      </c>
      <c r="D5" s="484"/>
      <c r="E5" s="485"/>
      <c r="F5" s="485"/>
      <c r="G5" s="485"/>
      <c r="H5" s="485"/>
      <c r="I5" s="485"/>
      <c r="J5" s="354"/>
    </row>
    <row r="6" spans="1:24" s="481" customFormat="1" ht="15" customHeight="1" thickBot="1">
      <c r="A6"/>
      <c r="B6" s="358"/>
      <c r="C6" s="368" t="s">
        <v>454</v>
      </c>
      <c r="D6" s="368" t="s">
        <v>455</v>
      </c>
      <c r="E6" s="356" t="s">
        <v>456</v>
      </c>
      <c r="F6" s="356" t="s">
        <v>457</v>
      </c>
      <c r="G6" s="442">
        <v>2016</v>
      </c>
      <c r="H6" s="356" t="s">
        <v>458</v>
      </c>
      <c r="I6" s="356" t="s">
        <v>459</v>
      </c>
      <c r="J6" s="442" t="s">
        <v>540</v>
      </c>
      <c r="K6" s="480"/>
      <c r="L6" s="480"/>
      <c r="M6" s="480"/>
      <c r="N6" s="480"/>
      <c r="O6" s="480"/>
      <c r="P6" s="480"/>
      <c r="R6" s="480"/>
      <c r="S6" s="480"/>
      <c r="T6" s="480"/>
    </row>
    <row r="7" spans="1:24" ht="29.25">
      <c r="B7" s="645" t="s">
        <v>545</v>
      </c>
      <c r="C7" s="671">
        <v>272</v>
      </c>
      <c r="D7" s="671">
        <v>377</v>
      </c>
      <c r="E7" s="671">
        <v>416</v>
      </c>
      <c r="F7" s="671">
        <v>456</v>
      </c>
      <c r="G7" s="530">
        <v>1521</v>
      </c>
      <c r="H7" s="671">
        <v>657</v>
      </c>
      <c r="I7" s="671">
        <v>615</v>
      </c>
      <c r="J7" s="530">
        <v>659</v>
      </c>
    </row>
    <row r="8" spans="1:24" ht="15" customHeight="1">
      <c r="B8" s="435" t="s">
        <v>427</v>
      </c>
      <c r="C8" s="359">
        <v>-96</v>
      </c>
      <c r="D8" s="359">
        <v>3</v>
      </c>
      <c r="E8" s="359">
        <v>41</v>
      </c>
      <c r="F8" s="359">
        <v>91</v>
      </c>
      <c r="G8" s="443">
        <v>40</v>
      </c>
      <c r="H8" s="359">
        <v>321</v>
      </c>
      <c r="I8" s="359">
        <v>259</v>
      </c>
      <c r="J8" s="443">
        <v>300</v>
      </c>
    </row>
    <row r="9" spans="1:24">
      <c r="B9" s="435" t="s">
        <v>11</v>
      </c>
      <c r="C9" s="359">
        <v>-6</v>
      </c>
      <c r="D9" s="359">
        <v>-603</v>
      </c>
      <c r="E9" s="359">
        <v>-357</v>
      </c>
      <c r="F9" s="359">
        <v>-120</v>
      </c>
      <c r="G9" s="443">
        <v>-1086</v>
      </c>
      <c r="H9" s="359">
        <v>187</v>
      </c>
      <c r="I9" s="359">
        <v>-90</v>
      </c>
      <c r="J9" s="443">
        <v>-53</v>
      </c>
    </row>
    <row r="10" spans="1:24" ht="15" customHeight="1">
      <c r="B10" s="435" t="s">
        <v>424</v>
      </c>
      <c r="C10" s="359">
        <v>-102</v>
      </c>
      <c r="D10" s="359">
        <v>-600</v>
      </c>
      <c r="E10" s="359">
        <v>-316</v>
      </c>
      <c r="F10" s="359">
        <v>-28</v>
      </c>
      <c r="G10" s="443">
        <v>-1046</v>
      </c>
      <c r="H10" s="359">
        <v>508</v>
      </c>
      <c r="I10" s="359">
        <v>169</v>
      </c>
      <c r="J10" s="443">
        <v>247</v>
      </c>
    </row>
    <row r="11" spans="1:24" ht="15" customHeight="1">
      <c r="B11" s="435" t="s">
        <v>140</v>
      </c>
      <c r="C11" s="359">
        <v>373</v>
      </c>
      <c r="D11" s="359">
        <v>316</v>
      </c>
      <c r="E11" s="359">
        <v>308</v>
      </c>
      <c r="F11" s="359">
        <v>358</v>
      </c>
      <c r="G11" s="443">
        <v>1356</v>
      </c>
      <c r="H11" s="359">
        <v>209</v>
      </c>
      <c r="I11" s="359">
        <v>227</v>
      </c>
      <c r="J11" s="443">
        <v>272</v>
      </c>
    </row>
    <row r="12" spans="1:24" ht="15" customHeight="1">
      <c r="B12" s="435" t="s">
        <v>16</v>
      </c>
      <c r="C12" s="359">
        <v>115</v>
      </c>
      <c r="D12" s="359">
        <v>49</v>
      </c>
      <c r="E12" s="359">
        <v>68</v>
      </c>
      <c r="F12" s="359">
        <v>75</v>
      </c>
      <c r="G12" s="443">
        <v>307</v>
      </c>
      <c r="H12" s="359">
        <v>53</v>
      </c>
      <c r="I12" s="359">
        <v>40</v>
      </c>
      <c r="J12" s="443">
        <v>53</v>
      </c>
    </row>
    <row r="13" spans="1:24" ht="15" customHeight="1">
      <c r="B13" s="435" t="s">
        <v>17</v>
      </c>
      <c r="C13" s="359">
        <v>36</v>
      </c>
      <c r="D13" s="359">
        <v>653</v>
      </c>
      <c r="E13" s="359">
        <v>57</v>
      </c>
      <c r="F13" s="359">
        <v>63</v>
      </c>
      <c r="G13" s="443">
        <v>808</v>
      </c>
      <c r="H13" s="359">
        <v>32</v>
      </c>
      <c r="I13" s="359">
        <v>58</v>
      </c>
      <c r="J13" s="443">
        <v>35</v>
      </c>
    </row>
    <row r="14" spans="1:24" ht="15" customHeight="1">
      <c r="B14" s="435" t="s">
        <v>495</v>
      </c>
      <c r="C14" s="364">
        <v>11.09</v>
      </c>
      <c r="D14" s="364">
        <v>10.71</v>
      </c>
      <c r="E14" s="351">
        <v>10.119999999999999</v>
      </c>
      <c r="F14" s="351">
        <v>10.38</v>
      </c>
      <c r="G14" s="445">
        <v>10.58</v>
      </c>
      <c r="H14" s="351">
        <v>8.91</v>
      </c>
      <c r="I14" s="351">
        <v>8.69</v>
      </c>
      <c r="J14" s="445">
        <v>8.77</v>
      </c>
      <c r="K14" s="351"/>
      <c r="L14" s="351"/>
      <c r="M14" s="351"/>
      <c r="N14" s="351"/>
      <c r="O14" s="351"/>
      <c r="P14" s="351"/>
      <c r="R14" s="351"/>
      <c r="S14" s="351"/>
      <c r="T14" s="351"/>
      <c r="U14" s="351"/>
      <c r="V14" s="351"/>
      <c r="W14" s="351"/>
      <c r="X14" s="351"/>
    </row>
    <row r="15" spans="1:24" s="334" customFormat="1" ht="15" customHeight="1">
      <c r="A15"/>
      <c r="B15" s="435"/>
      <c r="C15" s="364"/>
      <c r="D15" s="364"/>
      <c r="E15" s="351"/>
      <c r="F15" s="351"/>
      <c r="G15" s="445"/>
      <c r="H15" s="351"/>
      <c r="I15" s="351"/>
      <c r="J15" s="445"/>
      <c r="K15" s="370"/>
      <c r="L15" s="370"/>
      <c r="M15" s="370"/>
      <c r="N15" s="370"/>
      <c r="O15" s="370"/>
      <c r="P15" s="370"/>
      <c r="R15" s="370"/>
      <c r="S15" s="370"/>
      <c r="T15" s="370"/>
    </row>
    <row r="16" spans="1:24" s="481" customFormat="1" ht="15" customHeight="1">
      <c r="A16"/>
      <c r="B16" s="486" t="s">
        <v>489</v>
      </c>
      <c r="C16" s="660"/>
      <c r="D16" s="660"/>
      <c r="E16" s="487"/>
      <c r="F16" s="487"/>
      <c r="G16" s="488"/>
      <c r="H16" s="487"/>
      <c r="I16" s="487"/>
      <c r="J16" s="488"/>
      <c r="K16" s="480"/>
      <c r="L16" s="480"/>
      <c r="M16" s="480"/>
      <c r="N16" s="480"/>
      <c r="O16" s="480"/>
      <c r="P16" s="480"/>
      <c r="R16" s="480"/>
      <c r="S16" s="480"/>
      <c r="T16" s="480"/>
    </row>
    <row r="17" spans="1:20">
      <c r="B17" s="435" t="s">
        <v>150</v>
      </c>
      <c r="C17" s="359">
        <v>312</v>
      </c>
      <c r="D17" s="359">
        <v>316</v>
      </c>
      <c r="E17" s="359">
        <v>301</v>
      </c>
      <c r="F17" s="359">
        <v>315</v>
      </c>
      <c r="G17" s="443">
        <v>311</v>
      </c>
      <c r="H17" s="359">
        <v>335</v>
      </c>
      <c r="I17" s="359">
        <v>339</v>
      </c>
      <c r="J17" s="443">
        <v>341</v>
      </c>
    </row>
    <row r="18" spans="1:20" ht="15" customHeight="1">
      <c r="B18" s="435" t="s">
        <v>12</v>
      </c>
      <c r="C18" s="369">
        <v>14.6</v>
      </c>
      <c r="D18" s="369">
        <v>14.7</v>
      </c>
      <c r="E18" s="369">
        <v>14</v>
      </c>
      <c r="F18" s="369">
        <v>14.6</v>
      </c>
      <c r="G18" s="482">
        <v>57.9</v>
      </c>
      <c r="H18" s="369">
        <v>15.9</v>
      </c>
      <c r="I18" s="369">
        <v>16.5</v>
      </c>
      <c r="J18" s="482">
        <v>16.600000000000001</v>
      </c>
    </row>
    <row r="19" spans="1:20" ht="15" customHeight="1">
      <c r="B19" s="435" t="s">
        <v>13</v>
      </c>
      <c r="C19" s="369">
        <v>77.599999999999994</v>
      </c>
      <c r="D19" s="369">
        <v>79.5</v>
      </c>
      <c r="E19" s="369">
        <v>76.7</v>
      </c>
      <c r="F19" s="369">
        <v>81.2</v>
      </c>
      <c r="G19" s="482">
        <v>314.89999999999998</v>
      </c>
      <c r="H19" s="369">
        <v>80.3</v>
      </c>
      <c r="I19" s="369">
        <v>80.8</v>
      </c>
      <c r="J19" s="482">
        <v>83.4</v>
      </c>
    </row>
    <row r="20" spans="1:20" ht="15" customHeight="1">
      <c r="B20" s="435" t="s">
        <v>166</v>
      </c>
      <c r="C20" s="369">
        <v>2.2000000000000002</v>
      </c>
      <c r="D20" s="369">
        <v>2.2000000000000002</v>
      </c>
      <c r="E20" s="369">
        <v>2.1</v>
      </c>
      <c r="F20" s="369">
        <v>2.2999999999999998</v>
      </c>
      <c r="G20" s="482">
        <v>8.8000000000000007</v>
      </c>
      <c r="H20" s="369">
        <v>2.2000000000000002</v>
      </c>
      <c r="I20" s="369">
        <v>2.2999999999999998</v>
      </c>
      <c r="J20" s="482">
        <v>2.2999999999999998</v>
      </c>
    </row>
    <row r="21" spans="1:20" ht="15" customHeight="1">
      <c r="B21" s="435" t="s">
        <v>480</v>
      </c>
      <c r="C21" s="369">
        <v>26.3</v>
      </c>
      <c r="D21" s="369">
        <v>26.4</v>
      </c>
      <c r="E21" s="369">
        <v>27.4</v>
      </c>
      <c r="F21" s="369">
        <v>28.7</v>
      </c>
      <c r="G21" s="482">
        <v>108.8</v>
      </c>
      <c r="H21" s="369">
        <v>28.5</v>
      </c>
      <c r="I21" s="369">
        <v>28.5</v>
      </c>
      <c r="J21" s="482">
        <v>28.4</v>
      </c>
    </row>
    <row r="22" spans="1:20" ht="15" customHeight="1">
      <c r="B22" s="435" t="s">
        <v>14</v>
      </c>
      <c r="C22" s="351">
        <v>33.94</v>
      </c>
      <c r="D22" s="351">
        <v>45.59</v>
      </c>
      <c r="E22" s="351">
        <v>45.86</v>
      </c>
      <c r="F22" s="351">
        <v>49.33</v>
      </c>
      <c r="G22" s="445">
        <v>43.73</v>
      </c>
      <c r="H22" s="351">
        <v>53.69</v>
      </c>
      <c r="I22" s="351">
        <v>49.64</v>
      </c>
      <c r="J22" s="445">
        <v>52.08</v>
      </c>
    </row>
    <row r="23" spans="1:20" ht="15" customHeight="1">
      <c r="B23" s="435" t="s">
        <v>15</v>
      </c>
      <c r="C23" s="351">
        <v>30.93</v>
      </c>
      <c r="D23" s="351">
        <v>38.700000000000003</v>
      </c>
      <c r="E23" s="351">
        <v>43.33</v>
      </c>
      <c r="F23" s="351">
        <v>45.35</v>
      </c>
      <c r="G23" s="445">
        <v>39.770000000000003</v>
      </c>
      <c r="H23" s="351">
        <v>50.4</v>
      </c>
      <c r="I23" s="351">
        <v>46.02</v>
      </c>
      <c r="J23" s="445">
        <v>47.26</v>
      </c>
    </row>
    <row r="24" spans="1:20" ht="15" customHeight="1">
      <c r="B24" s="435" t="s">
        <v>217</v>
      </c>
      <c r="C24" s="351">
        <v>4.8</v>
      </c>
      <c r="D24" s="351">
        <v>4.5999999999999996</v>
      </c>
      <c r="E24" s="351">
        <v>4.46</v>
      </c>
      <c r="F24" s="351">
        <v>3.98</v>
      </c>
      <c r="G24" s="445">
        <v>4.45</v>
      </c>
      <c r="H24" s="351">
        <v>5.0199999999999996</v>
      </c>
      <c r="I24" s="351">
        <v>5.09</v>
      </c>
      <c r="J24" s="445">
        <v>5.21</v>
      </c>
    </row>
    <row r="25" spans="1:20" ht="15" customHeight="1">
      <c r="B25" s="435" t="s">
        <v>197</v>
      </c>
      <c r="C25" s="351">
        <v>155.81</v>
      </c>
      <c r="D25" s="351">
        <v>146.01</v>
      </c>
      <c r="E25" s="351">
        <v>143.21</v>
      </c>
      <c r="F25" s="351">
        <v>132.36000000000001</v>
      </c>
      <c r="G25" s="445">
        <v>144.09</v>
      </c>
      <c r="H25" s="351">
        <v>168.82</v>
      </c>
      <c r="I25" s="351">
        <v>165.17</v>
      </c>
      <c r="J25" s="445">
        <v>157.96</v>
      </c>
    </row>
    <row r="26" spans="1:20" ht="15" customHeight="1">
      <c r="B26" s="435" t="s">
        <v>482</v>
      </c>
      <c r="C26" s="351">
        <v>14.24</v>
      </c>
      <c r="D26" s="351">
        <v>13.32</v>
      </c>
      <c r="E26" s="351">
        <v>13.06</v>
      </c>
      <c r="F26" s="351">
        <v>12.08</v>
      </c>
      <c r="G26" s="445">
        <v>13.15</v>
      </c>
      <c r="H26" s="351">
        <v>15.4</v>
      </c>
      <c r="I26" s="351">
        <v>15.1</v>
      </c>
      <c r="J26" s="445">
        <v>14.44</v>
      </c>
    </row>
    <row r="27" spans="1:20" ht="15" customHeight="1">
      <c r="B27" s="435"/>
      <c r="C27" s="351"/>
      <c r="D27" s="351"/>
      <c r="E27" s="351"/>
      <c r="F27" s="351"/>
      <c r="G27" s="475"/>
      <c r="H27" s="351"/>
      <c r="I27" s="351"/>
      <c r="J27" s="475"/>
    </row>
    <row r="28" spans="1:20" s="374" customFormat="1" ht="27" customHeight="1">
      <c r="A28"/>
      <c r="B28" s="681" t="s">
        <v>550</v>
      </c>
      <c r="C28" s="681"/>
      <c r="D28" s="681"/>
      <c r="E28" s="681"/>
      <c r="F28" s="681"/>
      <c r="G28" s="681"/>
      <c r="H28" s="681"/>
      <c r="I28" s="650"/>
      <c r="J28" s="650"/>
      <c r="K28" s="405"/>
      <c r="L28" s="405"/>
      <c r="M28" s="405"/>
      <c r="N28" s="405"/>
      <c r="O28" s="405"/>
      <c r="P28" s="405"/>
      <c r="R28" s="405"/>
      <c r="S28" s="405"/>
      <c r="T28" s="405"/>
    </row>
    <row r="29" spans="1:20" s="374" customFormat="1" ht="15" customHeight="1">
      <c r="A29"/>
      <c r="B29" s="682" t="s">
        <v>494</v>
      </c>
      <c r="C29" s="682"/>
      <c r="D29" s="682"/>
      <c r="E29" s="682"/>
      <c r="F29" s="682"/>
      <c r="G29" s="682"/>
      <c r="H29" s="682"/>
      <c r="I29" s="651"/>
      <c r="J29" s="651"/>
      <c r="K29" s="405"/>
      <c r="L29" s="405"/>
      <c r="M29" s="405"/>
      <c r="N29" s="405"/>
      <c r="O29" s="405"/>
      <c r="P29" s="405"/>
      <c r="R29" s="405"/>
      <c r="S29" s="405"/>
      <c r="T29" s="405"/>
    </row>
    <row r="30" spans="1:20" s="374" customFormat="1" ht="15" customHeight="1">
      <c r="A30"/>
      <c r="B30" s="373"/>
      <c r="C30" s="489"/>
      <c r="D30" s="489"/>
      <c r="E30" s="489"/>
      <c r="F30" s="489"/>
      <c r="G30" s="489"/>
      <c r="H30" s="489"/>
      <c r="I30" s="489"/>
      <c r="J30" s="489"/>
      <c r="K30" s="405"/>
      <c r="L30" s="405"/>
      <c r="M30" s="405"/>
      <c r="N30" s="405"/>
      <c r="O30" s="405"/>
      <c r="P30" s="405"/>
      <c r="R30" s="405"/>
      <c r="S30" s="405"/>
      <c r="T30" s="405"/>
    </row>
    <row r="31" spans="1:20" ht="15" customHeight="1" thickBot="1">
      <c r="B31" s="437" t="s">
        <v>548</v>
      </c>
      <c r="C31" s="437"/>
      <c r="D31" s="437"/>
      <c r="E31" s="437"/>
      <c r="F31" s="437"/>
      <c r="G31" s="437"/>
      <c r="H31" s="437"/>
      <c r="I31" s="646"/>
      <c r="J31" s="646"/>
    </row>
    <row r="32" spans="1:20" ht="15" customHeight="1">
      <c r="B32" s="367" t="s">
        <v>450</v>
      </c>
      <c r="C32" s="485"/>
      <c r="D32" s="484"/>
      <c r="E32" s="485"/>
      <c r="F32" s="485"/>
      <c r="G32" s="354"/>
      <c r="H32" s="485"/>
      <c r="I32" s="485"/>
      <c r="J32" s="490"/>
    </row>
    <row r="33" spans="1:20" s="481" customFormat="1" ht="15.75" thickBot="1">
      <c r="A33"/>
      <c r="B33" s="358"/>
      <c r="C33" s="368" t="s">
        <v>454</v>
      </c>
      <c r="D33" s="368" t="s">
        <v>455</v>
      </c>
      <c r="E33" s="356" t="s">
        <v>456</v>
      </c>
      <c r="F33" s="356" t="s">
        <v>457</v>
      </c>
      <c r="G33" s="442">
        <v>2016</v>
      </c>
      <c r="H33" s="356" t="s">
        <v>458</v>
      </c>
      <c r="I33" s="356" t="s">
        <v>459</v>
      </c>
      <c r="J33" s="442" t="s">
        <v>540</v>
      </c>
      <c r="K33" s="480"/>
      <c r="L33" s="480"/>
      <c r="M33" s="480"/>
      <c r="N33" s="480"/>
      <c r="O33" s="480"/>
      <c r="P33" s="480"/>
      <c r="R33" s="480"/>
      <c r="S33" s="480"/>
      <c r="T33" s="480"/>
    </row>
    <row r="34" spans="1:20" ht="15" customHeight="1">
      <c r="B34" s="373" t="s">
        <v>424</v>
      </c>
      <c r="C34" s="372">
        <v>-18</v>
      </c>
      <c r="D34" s="372">
        <v>30</v>
      </c>
      <c r="E34" s="372">
        <v>40</v>
      </c>
      <c r="F34" s="372">
        <v>35</v>
      </c>
      <c r="G34" s="495">
        <v>88</v>
      </c>
      <c r="H34" s="372">
        <v>104</v>
      </c>
      <c r="I34" s="372">
        <v>91</v>
      </c>
      <c r="J34" s="495">
        <v>72</v>
      </c>
    </row>
    <row r="35" spans="1:20" ht="15" customHeight="1">
      <c r="B35" s="373" t="s">
        <v>11</v>
      </c>
      <c r="C35" s="372">
        <v>-2</v>
      </c>
      <c r="D35" s="372">
        <v>-13</v>
      </c>
      <c r="E35" s="372">
        <v>-5</v>
      </c>
      <c r="F35" s="372">
        <v>-19</v>
      </c>
      <c r="G35" s="495">
        <v>-39</v>
      </c>
      <c r="H35" s="372">
        <v>2</v>
      </c>
      <c r="I35" s="372">
        <v>-7</v>
      </c>
      <c r="J35" s="495">
        <v>-21</v>
      </c>
    </row>
    <row r="36" spans="1:20" ht="15" customHeight="1">
      <c r="B36" s="373" t="s">
        <v>427</v>
      </c>
      <c r="C36" s="372">
        <v>-16</v>
      </c>
      <c r="D36" s="372">
        <v>43</v>
      </c>
      <c r="E36" s="372">
        <v>45</v>
      </c>
      <c r="F36" s="372">
        <v>55</v>
      </c>
      <c r="G36" s="495">
        <v>126</v>
      </c>
      <c r="H36" s="372">
        <v>102</v>
      </c>
      <c r="I36" s="372">
        <v>98</v>
      </c>
      <c r="J36" s="495">
        <v>93</v>
      </c>
    </row>
    <row r="37" spans="1:20" ht="15" customHeight="1">
      <c r="B37" s="491"/>
      <c r="C37" s="492"/>
      <c r="D37" s="492"/>
      <c r="E37" s="492"/>
      <c r="F37" s="492"/>
      <c r="G37" s="496"/>
      <c r="H37" s="492"/>
      <c r="I37" s="492"/>
      <c r="J37" s="496"/>
    </row>
    <row r="38" spans="1:20" ht="15" customHeight="1">
      <c r="B38" s="486" t="s">
        <v>489</v>
      </c>
      <c r="C38" s="493"/>
      <c r="D38" s="487"/>
      <c r="E38" s="487"/>
      <c r="F38" s="487"/>
      <c r="G38" s="488"/>
      <c r="H38" s="487"/>
      <c r="I38" s="487"/>
      <c r="J38" s="488"/>
    </row>
    <row r="39" spans="1:20" ht="15" customHeight="1">
      <c r="B39" s="373" t="s">
        <v>150</v>
      </c>
      <c r="C39" s="372">
        <v>175</v>
      </c>
      <c r="D39" s="372">
        <v>177</v>
      </c>
      <c r="E39" s="372">
        <v>174</v>
      </c>
      <c r="F39" s="372">
        <v>170</v>
      </c>
      <c r="G39" s="495">
        <v>174</v>
      </c>
      <c r="H39" s="372">
        <v>170</v>
      </c>
      <c r="I39" s="372">
        <v>169</v>
      </c>
      <c r="J39" s="495">
        <v>166</v>
      </c>
    </row>
    <row r="40" spans="1:20" ht="15" customHeight="1">
      <c r="B40" s="373" t="s">
        <v>12</v>
      </c>
      <c r="C40" s="397">
        <v>7.4</v>
      </c>
      <c r="D40" s="397">
        <v>7.4</v>
      </c>
      <c r="E40" s="397">
        <v>7.3</v>
      </c>
      <c r="F40" s="397">
        <v>7.2</v>
      </c>
      <c r="G40" s="497">
        <v>29.1</v>
      </c>
      <c r="H40" s="397">
        <v>6.9</v>
      </c>
      <c r="I40" s="397">
        <v>7</v>
      </c>
      <c r="J40" s="497">
        <v>6.8</v>
      </c>
    </row>
    <row r="41" spans="1:20" ht="15" customHeight="1">
      <c r="B41" s="373" t="s">
        <v>13</v>
      </c>
      <c r="C41" s="397">
        <v>46.4</v>
      </c>
      <c r="D41" s="397">
        <v>47.4</v>
      </c>
      <c r="E41" s="397">
        <v>47.2</v>
      </c>
      <c r="F41" s="397">
        <v>45.9</v>
      </c>
      <c r="G41" s="497">
        <v>187</v>
      </c>
      <c r="H41" s="397">
        <v>45.7</v>
      </c>
      <c r="I41" s="397">
        <v>45.7</v>
      </c>
      <c r="J41" s="497">
        <v>45.8</v>
      </c>
    </row>
    <row r="42" spans="1:20" ht="15" customHeight="1">
      <c r="B42" s="373" t="s">
        <v>166</v>
      </c>
      <c r="C42" s="397">
        <v>1.3</v>
      </c>
      <c r="D42" s="397">
        <v>1.3</v>
      </c>
      <c r="E42" s="397">
        <v>1.3</v>
      </c>
      <c r="F42" s="397">
        <v>1.3</v>
      </c>
      <c r="G42" s="497">
        <v>5.3</v>
      </c>
      <c r="H42" s="397">
        <v>1.3</v>
      </c>
      <c r="I42" s="397">
        <v>1.3</v>
      </c>
      <c r="J42" s="497">
        <v>1.3</v>
      </c>
    </row>
    <row r="43" spans="1:20" ht="15" customHeight="1">
      <c r="B43" s="373" t="s">
        <v>18</v>
      </c>
      <c r="C43" s="397">
        <v>32.299999999999997</v>
      </c>
      <c r="D43" s="397">
        <v>43.9</v>
      </c>
      <c r="E43" s="397">
        <v>44.1</v>
      </c>
      <c r="F43" s="397">
        <v>47.9</v>
      </c>
      <c r="G43" s="497">
        <v>42.1</v>
      </c>
      <c r="H43" s="397">
        <v>52.2</v>
      </c>
      <c r="I43" s="397">
        <v>48.5</v>
      </c>
      <c r="J43" s="497">
        <v>51.4</v>
      </c>
    </row>
    <row r="44" spans="1:20" ht="15" customHeight="1">
      <c r="B44" s="373" t="s">
        <v>15</v>
      </c>
      <c r="C44" s="397">
        <v>26.7</v>
      </c>
      <c r="D44" s="397">
        <v>36.9</v>
      </c>
      <c r="E44" s="397">
        <v>37.4</v>
      </c>
      <c r="F44" s="397">
        <v>41.5</v>
      </c>
      <c r="G44" s="497">
        <v>35.6</v>
      </c>
      <c r="H44" s="397">
        <v>45.1</v>
      </c>
      <c r="I44" s="397">
        <v>41.6</v>
      </c>
      <c r="J44" s="497">
        <v>44</v>
      </c>
    </row>
    <row r="45" spans="1:20" ht="15" customHeight="1">
      <c r="B45" s="435" t="s">
        <v>495</v>
      </c>
      <c r="C45" s="397">
        <v>12.1</v>
      </c>
      <c r="D45" s="397">
        <v>12</v>
      </c>
      <c r="E45" s="397">
        <v>11.1</v>
      </c>
      <c r="F45" s="397">
        <v>11.6</v>
      </c>
      <c r="G45" s="497">
        <v>11.7</v>
      </c>
      <c r="H45" s="397">
        <v>10.5</v>
      </c>
      <c r="I45" s="397">
        <v>10.4</v>
      </c>
      <c r="J45" s="497">
        <v>10.199999999999999</v>
      </c>
    </row>
    <row r="46" spans="1:20">
      <c r="B46" s="366"/>
      <c r="C46" s="366"/>
      <c r="D46" s="366"/>
      <c r="E46" s="366"/>
      <c r="F46" s="366"/>
      <c r="G46" s="366"/>
      <c r="H46" s="366"/>
      <c r="I46" s="366"/>
      <c r="J46" s="366"/>
    </row>
    <row r="47" spans="1:20" ht="27" customHeight="1">
      <c r="B47" s="681" t="s">
        <v>550</v>
      </c>
      <c r="C47" s="681"/>
      <c r="D47" s="681"/>
      <c r="E47" s="681"/>
      <c r="F47" s="681"/>
      <c r="G47" s="681"/>
      <c r="H47" s="681"/>
      <c r="I47" s="650"/>
      <c r="J47" s="650"/>
    </row>
    <row r="48" spans="1:20" ht="14.25" customHeight="1">
      <c r="B48" s="494"/>
      <c r="C48" s="494"/>
      <c r="D48" s="494"/>
      <c r="E48" s="494"/>
      <c r="F48" s="494"/>
      <c r="G48" s="494"/>
      <c r="H48" s="494"/>
      <c r="I48" s="494"/>
      <c r="J48" s="494"/>
    </row>
    <row r="49" spans="1:20" s="481" customFormat="1" ht="15.75" thickBot="1">
      <c r="A49"/>
      <c r="B49" s="358" t="s">
        <v>220</v>
      </c>
      <c r="C49" s="368" t="s">
        <v>454</v>
      </c>
      <c r="D49" s="368" t="s">
        <v>455</v>
      </c>
      <c r="E49" s="356" t="s">
        <v>456</v>
      </c>
      <c r="F49" s="356" t="s">
        <v>457</v>
      </c>
      <c r="G49" s="442">
        <v>2016</v>
      </c>
      <c r="H49" s="356" t="s">
        <v>458</v>
      </c>
      <c r="I49" s="356" t="s">
        <v>459</v>
      </c>
      <c r="J49" s="442" t="s">
        <v>540</v>
      </c>
      <c r="K49" s="480"/>
      <c r="L49" s="480"/>
      <c r="M49" s="480"/>
      <c r="N49" s="480"/>
      <c r="O49" s="480"/>
      <c r="P49" s="480"/>
      <c r="R49" s="480"/>
      <c r="S49" s="480"/>
      <c r="T49" s="480"/>
    </row>
    <row r="50" spans="1:20" ht="15" customHeight="1">
      <c r="B50" s="373" t="s">
        <v>198</v>
      </c>
      <c r="C50" s="372">
        <v>166</v>
      </c>
      <c r="D50" s="372">
        <v>169</v>
      </c>
      <c r="E50" s="372">
        <v>166</v>
      </c>
      <c r="F50" s="372">
        <v>162</v>
      </c>
      <c r="G50" s="495">
        <v>166</v>
      </c>
      <c r="H50" s="372">
        <v>163</v>
      </c>
      <c r="I50" s="372">
        <v>162</v>
      </c>
      <c r="J50" s="495">
        <v>159</v>
      </c>
    </row>
    <row r="51" spans="1:20" ht="15" customHeight="1">
      <c r="B51" s="373" t="s">
        <v>199</v>
      </c>
      <c r="C51" s="372">
        <v>29</v>
      </c>
      <c r="D51" s="372">
        <v>28</v>
      </c>
      <c r="E51" s="372">
        <v>28</v>
      </c>
      <c r="F51" s="372">
        <v>28</v>
      </c>
      <c r="G51" s="495">
        <v>28</v>
      </c>
      <c r="H51" s="372">
        <v>28</v>
      </c>
      <c r="I51" s="372">
        <v>29</v>
      </c>
      <c r="J51" s="495">
        <v>29</v>
      </c>
    </row>
    <row r="52" spans="1:20" ht="15" customHeight="1">
      <c r="B52" s="373" t="s">
        <v>200</v>
      </c>
      <c r="C52" s="372">
        <v>9</v>
      </c>
      <c r="D52" s="372">
        <v>9</v>
      </c>
      <c r="E52" s="372">
        <v>8</v>
      </c>
      <c r="F52" s="372">
        <v>8</v>
      </c>
      <c r="G52" s="495">
        <v>8</v>
      </c>
      <c r="H52" s="372">
        <v>7</v>
      </c>
      <c r="I52" s="372">
        <v>8</v>
      </c>
      <c r="J52" s="495">
        <v>7</v>
      </c>
    </row>
    <row r="53" spans="1:20" ht="15" customHeight="1">
      <c r="B53" s="373" t="s">
        <v>201</v>
      </c>
      <c r="C53" s="372">
        <v>0</v>
      </c>
      <c r="D53" s="372">
        <v>0</v>
      </c>
      <c r="E53" s="372">
        <v>0</v>
      </c>
      <c r="F53" s="372">
        <v>3</v>
      </c>
      <c r="G53" s="495">
        <v>1</v>
      </c>
      <c r="H53" s="372">
        <v>16</v>
      </c>
      <c r="I53" s="372">
        <v>24</v>
      </c>
      <c r="J53" s="495">
        <v>28</v>
      </c>
    </row>
    <row r="54" spans="1:20" ht="15" customHeight="1">
      <c r="B54" s="373" t="s">
        <v>202</v>
      </c>
      <c r="C54" s="372">
        <v>18</v>
      </c>
      <c r="D54" s="372">
        <v>19</v>
      </c>
      <c r="E54" s="372">
        <v>20</v>
      </c>
      <c r="F54" s="372">
        <v>16</v>
      </c>
      <c r="G54" s="495">
        <v>18</v>
      </c>
      <c r="H54" s="372">
        <v>17</v>
      </c>
      <c r="I54" s="372">
        <v>17</v>
      </c>
      <c r="J54" s="495">
        <v>18</v>
      </c>
    </row>
    <row r="55" spans="1:20" ht="15" customHeight="1">
      <c r="B55" s="373" t="s">
        <v>203</v>
      </c>
      <c r="C55" s="372">
        <v>68</v>
      </c>
      <c r="D55" s="372">
        <v>72</v>
      </c>
      <c r="E55" s="372">
        <v>60</v>
      </c>
      <c r="F55" s="372">
        <v>79</v>
      </c>
      <c r="G55" s="495">
        <v>70</v>
      </c>
      <c r="H55" s="372">
        <v>80</v>
      </c>
      <c r="I55" s="372">
        <v>76</v>
      </c>
      <c r="J55" s="495">
        <v>82</v>
      </c>
    </row>
    <row r="56" spans="1:20" ht="15" customHeight="1">
      <c r="B56" s="373" t="s">
        <v>204</v>
      </c>
      <c r="C56" s="372">
        <v>11</v>
      </c>
      <c r="D56" s="372">
        <v>10</v>
      </c>
      <c r="E56" s="372">
        <v>9</v>
      </c>
      <c r="F56" s="372">
        <v>9</v>
      </c>
      <c r="G56" s="495">
        <v>10</v>
      </c>
      <c r="H56" s="372">
        <v>8</v>
      </c>
      <c r="I56" s="372">
        <v>8</v>
      </c>
      <c r="J56" s="495">
        <v>7</v>
      </c>
    </row>
    <row r="57" spans="1:20">
      <c r="B57" s="373" t="s">
        <v>205</v>
      </c>
      <c r="C57" s="372">
        <v>8</v>
      </c>
      <c r="D57" s="372">
        <v>9</v>
      </c>
      <c r="E57" s="372">
        <v>9</v>
      </c>
      <c r="F57" s="372">
        <v>7</v>
      </c>
      <c r="G57" s="495">
        <v>8</v>
      </c>
      <c r="H57" s="372">
        <v>9</v>
      </c>
      <c r="I57" s="372">
        <v>7</v>
      </c>
      <c r="J57" s="495">
        <v>4</v>
      </c>
    </row>
    <row r="58" spans="1:20">
      <c r="B58" s="373" t="s">
        <v>206</v>
      </c>
      <c r="C58" s="372">
        <v>1</v>
      </c>
      <c r="D58" s="372">
        <v>1</v>
      </c>
      <c r="E58" s="372">
        <v>1</v>
      </c>
      <c r="F58" s="372">
        <v>1</v>
      </c>
      <c r="G58" s="495">
        <v>1</v>
      </c>
      <c r="H58" s="636"/>
      <c r="I58" s="636"/>
      <c r="J58" s="637"/>
    </row>
    <row r="59" spans="1:20">
      <c r="B59" s="373" t="s">
        <v>207</v>
      </c>
      <c r="C59" s="372">
        <v>0</v>
      </c>
      <c r="D59" s="372">
        <v>0</v>
      </c>
      <c r="E59" s="372">
        <v>0</v>
      </c>
      <c r="F59" s="372">
        <v>0</v>
      </c>
      <c r="G59" s="495">
        <v>0</v>
      </c>
      <c r="H59" s="372">
        <v>0</v>
      </c>
      <c r="I59" s="372">
        <v>0</v>
      </c>
      <c r="J59" s="495">
        <v>0</v>
      </c>
    </row>
    <row r="60" spans="1:20">
      <c r="B60" s="362" t="s">
        <v>536</v>
      </c>
      <c r="C60" s="636"/>
      <c r="D60" s="636"/>
      <c r="E60" s="636"/>
      <c r="F60" s="636"/>
      <c r="G60" s="637"/>
      <c r="H60" s="362">
        <v>8</v>
      </c>
      <c r="I60" s="362">
        <v>7</v>
      </c>
      <c r="J60" s="495">
        <v>7</v>
      </c>
    </row>
    <row r="61" spans="1:20">
      <c r="J61" s="362"/>
    </row>
    <row r="62" spans="1:20">
      <c r="J62" s="362"/>
    </row>
    <row r="63" spans="1:20">
      <c r="J63" s="362"/>
    </row>
    <row r="64" spans="1:20">
      <c r="J64" s="362"/>
    </row>
    <row r="65" spans="2:10">
      <c r="J65" s="362"/>
    </row>
    <row r="66" spans="2:10">
      <c r="J66" s="362"/>
    </row>
    <row r="67" spans="2:10">
      <c r="B67" s="354"/>
      <c r="C67" s="354"/>
      <c r="D67" s="354"/>
      <c r="E67" s="354"/>
      <c r="F67" s="354"/>
      <c r="G67" s="354"/>
      <c r="H67" s="354"/>
      <c r="I67" s="354"/>
      <c r="J67" s="362"/>
    </row>
    <row r="68" spans="2:10">
      <c r="B68" s="354"/>
      <c r="C68" s="354"/>
      <c r="D68" s="354"/>
      <c r="E68" s="354"/>
      <c r="F68" s="354"/>
      <c r="G68" s="354"/>
      <c r="H68" s="354"/>
      <c r="I68" s="354"/>
      <c r="J68" s="362"/>
    </row>
    <row r="69" spans="2:10">
      <c r="B69" s="354"/>
      <c r="C69" s="354"/>
      <c r="D69" s="354"/>
      <c r="E69" s="354"/>
      <c r="F69" s="354"/>
      <c r="G69" s="354"/>
      <c r="H69" s="354"/>
      <c r="I69" s="354"/>
      <c r="J69" s="362"/>
    </row>
    <row r="70" spans="2:10">
      <c r="B70" s="354"/>
      <c r="C70" s="354"/>
      <c r="D70" s="354"/>
      <c r="E70" s="354"/>
      <c r="F70" s="354"/>
      <c r="G70" s="354"/>
      <c r="H70" s="354"/>
      <c r="I70" s="354"/>
      <c r="J70" s="362"/>
    </row>
    <row r="71" spans="2:10">
      <c r="B71" s="354"/>
      <c r="C71" s="354"/>
      <c r="D71" s="354"/>
      <c r="E71" s="354"/>
      <c r="F71" s="354"/>
      <c r="G71" s="354"/>
      <c r="H71" s="354"/>
      <c r="I71" s="354"/>
      <c r="J71" s="362"/>
    </row>
    <row r="72" spans="2:10">
      <c r="B72" s="354"/>
      <c r="C72" s="354"/>
      <c r="D72" s="354"/>
      <c r="E72" s="354"/>
      <c r="F72" s="354"/>
      <c r="G72" s="354"/>
      <c r="H72" s="354"/>
      <c r="I72" s="354"/>
      <c r="J72" s="362"/>
    </row>
    <row r="73" spans="2:10">
      <c r="B73" s="354"/>
      <c r="C73" s="354"/>
      <c r="D73" s="354"/>
      <c r="E73" s="354"/>
      <c r="F73" s="354"/>
      <c r="G73" s="354"/>
      <c r="H73" s="354"/>
      <c r="I73" s="354"/>
      <c r="J73" s="362"/>
    </row>
    <row r="74" spans="2:10">
      <c r="B74" s="354"/>
      <c r="C74" s="354"/>
      <c r="D74" s="354"/>
      <c r="E74" s="354"/>
      <c r="F74" s="354"/>
      <c r="G74" s="354"/>
      <c r="H74" s="354"/>
      <c r="I74" s="354"/>
      <c r="J74" s="362"/>
    </row>
    <row r="75" spans="2:10">
      <c r="B75" s="354"/>
      <c r="C75" s="354"/>
      <c r="D75" s="354"/>
      <c r="E75" s="354"/>
      <c r="F75" s="354"/>
      <c r="G75" s="354"/>
      <c r="H75" s="354"/>
      <c r="I75" s="354"/>
      <c r="J75" s="362"/>
    </row>
    <row r="76" spans="2:10">
      <c r="B76" s="354"/>
      <c r="C76" s="354"/>
      <c r="D76" s="354"/>
      <c r="E76" s="354"/>
      <c r="F76" s="354"/>
      <c r="G76" s="354"/>
      <c r="H76" s="354"/>
      <c r="I76" s="354"/>
      <c r="J76" s="362"/>
    </row>
    <row r="77" spans="2:10">
      <c r="B77" s="354"/>
      <c r="C77" s="354"/>
      <c r="D77" s="354"/>
      <c r="E77" s="354"/>
      <c r="F77" s="354"/>
      <c r="G77" s="354"/>
      <c r="H77" s="354"/>
      <c r="I77" s="354"/>
      <c r="J77" s="362"/>
    </row>
    <row r="78" spans="2:10">
      <c r="B78" s="354"/>
      <c r="C78" s="354"/>
      <c r="D78" s="354"/>
      <c r="E78" s="354"/>
      <c r="F78" s="354"/>
      <c r="G78" s="354"/>
      <c r="H78" s="354"/>
      <c r="I78" s="354"/>
      <c r="J78" s="362"/>
    </row>
    <row r="79" spans="2:10">
      <c r="B79" s="354"/>
      <c r="C79" s="354"/>
      <c r="D79" s="354"/>
      <c r="E79" s="354"/>
      <c r="F79" s="354"/>
      <c r="G79" s="354"/>
      <c r="H79" s="354"/>
      <c r="I79" s="354"/>
      <c r="J79" s="362"/>
    </row>
    <row r="80" spans="2:10">
      <c r="B80" s="354"/>
      <c r="C80" s="354"/>
      <c r="D80" s="354"/>
      <c r="E80" s="354"/>
      <c r="F80" s="354"/>
      <c r="G80" s="354"/>
      <c r="H80" s="354"/>
      <c r="I80" s="354"/>
      <c r="J80" s="362"/>
    </row>
    <row r="81" spans="2:10">
      <c r="B81" s="354"/>
      <c r="C81" s="354"/>
      <c r="D81" s="354"/>
      <c r="E81" s="354"/>
      <c r="F81" s="354"/>
      <c r="G81" s="354"/>
      <c r="H81" s="354"/>
      <c r="I81" s="354"/>
      <c r="J81" s="362"/>
    </row>
    <row r="82" spans="2:10">
      <c r="B82" s="354"/>
      <c r="C82" s="354"/>
      <c r="D82" s="354"/>
      <c r="E82" s="354"/>
      <c r="F82" s="354"/>
      <c r="G82" s="354"/>
      <c r="H82" s="354"/>
      <c r="I82" s="354"/>
      <c r="J82" s="362"/>
    </row>
    <row r="83" spans="2:10">
      <c r="B83" s="354"/>
      <c r="C83" s="354"/>
      <c r="D83" s="354"/>
      <c r="E83" s="354"/>
      <c r="F83" s="354"/>
      <c r="G83" s="354"/>
      <c r="H83" s="354"/>
      <c r="I83" s="354"/>
      <c r="J83" s="362"/>
    </row>
    <row r="84" spans="2:10">
      <c r="B84" s="354"/>
      <c r="C84" s="354"/>
      <c r="D84" s="354"/>
      <c r="E84" s="354"/>
      <c r="F84" s="354"/>
      <c r="G84" s="354"/>
      <c r="H84" s="354"/>
      <c r="I84" s="354"/>
      <c r="J84" s="362"/>
    </row>
    <row r="85" spans="2:10">
      <c r="B85" s="354"/>
      <c r="C85" s="354"/>
      <c r="D85" s="354"/>
      <c r="E85" s="354"/>
      <c r="F85" s="354"/>
      <c r="G85" s="354"/>
      <c r="H85" s="354"/>
      <c r="I85" s="354"/>
      <c r="J85" s="362"/>
    </row>
    <row r="86" spans="2:10">
      <c r="B86" s="354"/>
      <c r="C86" s="354"/>
      <c r="D86" s="354"/>
      <c r="E86" s="354"/>
      <c r="F86" s="354"/>
      <c r="G86" s="354"/>
      <c r="H86" s="354"/>
      <c r="I86" s="354"/>
      <c r="J86" s="362"/>
    </row>
    <row r="87" spans="2:10">
      <c r="B87" s="354"/>
      <c r="C87" s="354"/>
      <c r="D87" s="354"/>
      <c r="E87" s="354"/>
      <c r="F87" s="354"/>
      <c r="G87" s="354"/>
      <c r="H87" s="354"/>
      <c r="I87" s="354"/>
      <c r="J87" s="362"/>
    </row>
    <row r="88" spans="2:10">
      <c r="B88" s="354"/>
      <c r="C88" s="354"/>
      <c r="D88" s="354"/>
      <c r="E88" s="354"/>
      <c r="F88" s="354"/>
      <c r="G88" s="354"/>
      <c r="H88" s="354"/>
      <c r="I88" s="354"/>
      <c r="J88" s="362"/>
    </row>
    <row r="89" spans="2:10">
      <c r="B89" s="354"/>
      <c r="C89" s="354"/>
      <c r="D89" s="354"/>
      <c r="E89" s="354"/>
      <c r="F89" s="354"/>
      <c r="G89" s="354"/>
      <c r="H89" s="354"/>
      <c r="I89" s="354"/>
      <c r="J89" s="362"/>
    </row>
    <row r="90" spans="2:10">
      <c r="B90" s="354"/>
      <c r="C90" s="354"/>
      <c r="D90" s="354"/>
      <c r="E90" s="354"/>
      <c r="F90" s="354"/>
      <c r="G90" s="354"/>
      <c r="H90" s="354"/>
      <c r="I90" s="354"/>
      <c r="J90" s="362"/>
    </row>
    <row r="91" spans="2:10">
      <c r="B91" s="354"/>
      <c r="C91" s="354"/>
      <c r="D91" s="354"/>
      <c r="E91" s="354"/>
      <c r="F91" s="354"/>
      <c r="G91" s="354"/>
      <c r="H91" s="354"/>
      <c r="I91" s="354"/>
      <c r="J91" s="362"/>
    </row>
    <row r="92" spans="2:10">
      <c r="B92" s="354"/>
      <c r="C92" s="354"/>
      <c r="D92" s="354"/>
      <c r="E92" s="354"/>
      <c r="F92" s="354"/>
      <c r="G92" s="354"/>
      <c r="H92" s="354"/>
      <c r="I92" s="354"/>
      <c r="J92" s="362"/>
    </row>
    <row r="93" spans="2:10">
      <c r="B93" s="354"/>
      <c r="C93" s="354"/>
      <c r="D93" s="354"/>
      <c r="E93" s="354"/>
      <c r="F93" s="354"/>
      <c r="G93" s="354"/>
      <c r="H93" s="354"/>
      <c r="I93" s="354"/>
      <c r="J93" s="362"/>
    </row>
    <row r="94" spans="2:10">
      <c r="B94" s="354"/>
      <c r="C94" s="354"/>
      <c r="D94" s="354"/>
      <c r="E94" s="354"/>
      <c r="F94" s="354"/>
      <c r="G94" s="354"/>
      <c r="H94" s="354"/>
      <c r="I94" s="354"/>
      <c r="J94" s="362"/>
    </row>
    <row r="95" spans="2:10">
      <c r="B95" s="354"/>
      <c r="C95" s="354"/>
      <c r="D95" s="354"/>
      <c r="E95" s="354"/>
      <c r="F95" s="354"/>
      <c r="G95" s="354"/>
      <c r="H95" s="354"/>
      <c r="I95" s="354"/>
      <c r="J95" s="362"/>
    </row>
    <row r="96" spans="2:10">
      <c r="B96" s="354"/>
      <c r="C96" s="354"/>
      <c r="D96" s="354"/>
      <c r="E96" s="354"/>
      <c r="F96" s="354"/>
      <c r="G96" s="354"/>
      <c r="H96" s="354"/>
      <c r="I96" s="354"/>
      <c r="J96" s="362"/>
    </row>
    <row r="97" spans="2:10">
      <c r="B97" s="354"/>
      <c r="C97" s="354"/>
      <c r="D97" s="354"/>
      <c r="E97" s="354"/>
      <c r="F97" s="354"/>
      <c r="G97" s="354"/>
      <c r="H97" s="354"/>
      <c r="I97" s="354"/>
      <c r="J97" s="362"/>
    </row>
    <row r="98" spans="2:10">
      <c r="B98" s="354"/>
      <c r="C98" s="354"/>
      <c r="D98" s="354"/>
      <c r="E98" s="354"/>
      <c r="F98" s="354"/>
      <c r="G98" s="354"/>
      <c r="H98" s="354"/>
      <c r="I98" s="354"/>
      <c r="J98" s="362"/>
    </row>
    <row r="99" spans="2:10">
      <c r="B99" s="354"/>
      <c r="C99" s="354"/>
      <c r="D99" s="354"/>
      <c r="E99" s="354"/>
      <c r="F99" s="354"/>
      <c r="G99" s="354"/>
      <c r="H99" s="354"/>
      <c r="I99" s="354"/>
      <c r="J99" s="362"/>
    </row>
    <row r="100" spans="2:10">
      <c r="B100" s="354"/>
      <c r="C100" s="354"/>
      <c r="D100" s="354"/>
      <c r="E100" s="354"/>
      <c r="F100" s="354"/>
      <c r="G100" s="354"/>
      <c r="H100" s="354"/>
      <c r="I100" s="354"/>
      <c r="J100" s="362"/>
    </row>
    <row r="101" spans="2:10">
      <c r="B101" s="354"/>
      <c r="C101" s="354"/>
      <c r="D101" s="354"/>
      <c r="E101" s="354"/>
      <c r="F101" s="354"/>
      <c r="G101" s="354"/>
      <c r="H101" s="354"/>
      <c r="I101" s="354"/>
      <c r="J101" s="362"/>
    </row>
    <row r="102" spans="2:10">
      <c r="B102" s="354"/>
      <c r="C102" s="354"/>
      <c r="D102" s="354"/>
      <c r="E102" s="354"/>
      <c r="F102" s="354"/>
      <c r="G102" s="354"/>
      <c r="H102" s="354"/>
      <c r="I102" s="354"/>
      <c r="J102" s="362"/>
    </row>
    <row r="103" spans="2:10">
      <c r="B103" s="354"/>
      <c r="C103" s="354"/>
      <c r="D103" s="354"/>
      <c r="E103" s="354"/>
      <c r="F103" s="354"/>
      <c r="G103" s="354"/>
      <c r="H103" s="354"/>
      <c r="I103" s="354"/>
      <c r="J103" s="362"/>
    </row>
    <row r="104" spans="2:10">
      <c r="B104" s="354"/>
      <c r="C104" s="354"/>
      <c r="D104" s="354"/>
      <c r="E104" s="354"/>
      <c r="F104" s="354"/>
      <c r="G104" s="354"/>
      <c r="H104" s="354"/>
      <c r="I104" s="354"/>
      <c r="J104" s="362"/>
    </row>
    <row r="105" spans="2:10">
      <c r="B105" s="354"/>
      <c r="C105" s="354"/>
      <c r="D105" s="354"/>
      <c r="E105" s="354"/>
      <c r="F105" s="354"/>
      <c r="G105" s="354"/>
      <c r="H105" s="354"/>
      <c r="I105" s="354"/>
      <c r="J105" s="362"/>
    </row>
    <row r="106" spans="2:10">
      <c r="B106" s="354"/>
      <c r="C106" s="354"/>
      <c r="D106" s="354"/>
      <c r="E106" s="354"/>
      <c r="F106" s="354"/>
      <c r="G106" s="354"/>
      <c r="H106" s="354"/>
      <c r="I106" s="354"/>
      <c r="J106" s="362"/>
    </row>
    <row r="107" spans="2:10">
      <c r="B107" s="354"/>
      <c r="C107" s="354"/>
      <c r="D107" s="354"/>
      <c r="E107" s="354"/>
      <c r="F107" s="354"/>
      <c r="G107" s="354"/>
      <c r="H107" s="354"/>
      <c r="I107" s="354"/>
      <c r="J107" s="362"/>
    </row>
    <row r="108" spans="2:10">
      <c r="B108" s="354"/>
      <c r="C108" s="354"/>
      <c r="D108" s="354"/>
      <c r="E108" s="354"/>
      <c r="F108" s="354"/>
      <c r="G108" s="354"/>
      <c r="H108" s="354"/>
      <c r="I108" s="354"/>
      <c r="J108" s="362"/>
    </row>
    <row r="109" spans="2:10">
      <c r="B109" s="354"/>
      <c r="C109" s="354"/>
      <c r="D109" s="354"/>
      <c r="E109" s="354"/>
      <c r="F109" s="354"/>
      <c r="G109" s="354"/>
      <c r="H109" s="354"/>
      <c r="I109" s="354"/>
      <c r="J109" s="362"/>
    </row>
  </sheetData>
  <mergeCells count="3">
    <mergeCell ref="B28:H28"/>
    <mergeCell ref="B29:H29"/>
    <mergeCell ref="B47:H47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5" fitToHeight="0" orientation="portrait" r:id="rId1"/>
  <headerFooter alignWithMargins="0">
    <oddHeader>&amp;CNovember 9, 2017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W132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5.140625" style="370" customWidth="1"/>
    <col min="3" max="10" width="10.7109375" style="452" customWidth="1"/>
    <col min="11" max="22" width="11.42578125" style="370"/>
    <col min="24" max="16384" width="11.42578125" style="370"/>
  </cols>
  <sheetData>
    <row r="1" spans="1:23" s="524" customFormat="1" ht="30" customHeight="1">
      <c r="A1"/>
      <c r="B1" s="587" t="s">
        <v>120</v>
      </c>
    </row>
    <row r="2" spans="1:23" ht="15.75">
      <c r="B2" s="588"/>
    </row>
    <row r="3" spans="1:23" ht="15.75">
      <c r="B3" s="411"/>
    </row>
    <row r="4" spans="1:23" ht="15" customHeight="1" thickBot="1">
      <c r="B4" s="453" t="s">
        <v>188</v>
      </c>
      <c r="C4" s="430"/>
      <c r="D4" s="430"/>
      <c r="E4" s="430"/>
      <c r="F4" s="430"/>
      <c r="G4" s="430"/>
      <c r="H4" s="430"/>
      <c r="I4" s="430"/>
      <c r="J4" s="430"/>
    </row>
    <row r="5" spans="1:23" ht="15" customHeight="1">
      <c r="B5" s="454" t="s">
        <v>450</v>
      </c>
      <c r="C5" s="455"/>
      <c r="D5" s="455"/>
      <c r="E5" s="455"/>
      <c r="F5" s="455"/>
      <c r="G5" s="455"/>
      <c r="H5" s="455"/>
      <c r="I5" s="455"/>
      <c r="J5" s="455"/>
    </row>
    <row r="6" spans="1:23" s="480" customFormat="1" ht="15.75" thickBot="1">
      <c r="A6"/>
      <c r="B6" s="456"/>
      <c r="C6" s="457" t="s">
        <v>454</v>
      </c>
      <c r="D6" s="457" t="s">
        <v>455</v>
      </c>
      <c r="E6" s="457" t="s">
        <v>456</v>
      </c>
      <c r="F6" s="457" t="s">
        <v>457</v>
      </c>
      <c r="G6" s="502">
        <v>2016</v>
      </c>
      <c r="H6" s="457" t="s">
        <v>458</v>
      </c>
      <c r="I6" s="457" t="s">
        <v>459</v>
      </c>
      <c r="J6" s="502" t="s">
        <v>540</v>
      </c>
    </row>
    <row r="7" spans="1:23" ht="31.5">
      <c r="B7" s="399" t="s">
        <v>544</v>
      </c>
      <c r="C7" s="597">
        <v>475</v>
      </c>
      <c r="D7" s="597">
        <v>524</v>
      </c>
      <c r="E7" s="597">
        <v>652</v>
      </c>
      <c r="F7" s="597">
        <v>525</v>
      </c>
      <c r="G7" s="598">
        <v>2175</v>
      </c>
      <c r="H7" s="597">
        <v>611</v>
      </c>
      <c r="I7" s="597">
        <v>528</v>
      </c>
      <c r="J7" s="598">
        <v>628</v>
      </c>
    </row>
    <row r="8" spans="1:23" ht="15" customHeight="1">
      <c r="B8" s="399" t="s">
        <v>483</v>
      </c>
      <c r="C8" s="458">
        <v>319</v>
      </c>
      <c r="D8" s="458">
        <v>363</v>
      </c>
      <c r="E8" s="458">
        <v>488</v>
      </c>
      <c r="F8" s="458">
        <v>362</v>
      </c>
      <c r="G8" s="449">
        <v>1533</v>
      </c>
      <c r="H8" s="458">
        <v>494</v>
      </c>
      <c r="I8" s="458">
        <v>411</v>
      </c>
      <c r="J8" s="449">
        <v>510</v>
      </c>
    </row>
    <row r="9" spans="1:23" ht="15" customHeight="1">
      <c r="B9" s="469" t="s">
        <v>190</v>
      </c>
      <c r="C9" s="498">
        <v>296</v>
      </c>
      <c r="D9" s="498">
        <v>289</v>
      </c>
      <c r="E9" s="498">
        <v>422</v>
      </c>
      <c r="F9" s="498">
        <v>333</v>
      </c>
      <c r="G9" s="503">
        <v>1341</v>
      </c>
      <c r="H9" s="498">
        <v>411</v>
      </c>
      <c r="I9" s="498">
        <v>382</v>
      </c>
      <c r="J9" s="503">
        <v>450</v>
      </c>
    </row>
    <row r="10" spans="1:23" ht="15" customHeight="1">
      <c r="B10" s="469" t="s">
        <v>191</v>
      </c>
      <c r="C10" s="498">
        <v>23</v>
      </c>
      <c r="D10" s="498">
        <v>74</v>
      </c>
      <c r="E10" s="498">
        <v>66</v>
      </c>
      <c r="F10" s="498">
        <v>29</v>
      </c>
      <c r="G10" s="503">
        <v>192</v>
      </c>
      <c r="H10" s="498">
        <v>82</v>
      </c>
      <c r="I10" s="498">
        <v>29</v>
      </c>
      <c r="J10" s="503">
        <v>60</v>
      </c>
    </row>
    <row r="11" spans="1:23" ht="15" customHeight="1">
      <c r="B11" s="399" t="s">
        <v>11</v>
      </c>
      <c r="C11" s="458">
        <v>-9</v>
      </c>
      <c r="D11" s="458">
        <v>-2</v>
      </c>
      <c r="E11" s="458">
        <v>8</v>
      </c>
      <c r="F11" s="458">
        <v>-478</v>
      </c>
      <c r="G11" s="449">
        <v>-482</v>
      </c>
      <c r="H11" s="458">
        <v>26</v>
      </c>
      <c r="I11" s="458">
        <v>-1231</v>
      </c>
      <c r="J11" s="449">
        <v>0</v>
      </c>
    </row>
    <row r="12" spans="1:23" ht="15" customHeight="1">
      <c r="B12" s="399" t="s">
        <v>484</v>
      </c>
      <c r="C12" s="458">
        <v>-78</v>
      </c>
      <c r="D12" s="458">
        <v>114</v>
      </c>
      <c r="E12" s="458">
        <v>-8</v>
      </c>
      <c r="F12" s="458">
        <v>26</v>
      </c>
      <c r="G12" s="449">
        <v>55</v>
      </c>
      <c r="H12" s="458">
        <v>20</v>
      </c>
      <c r="I12" s="458">
        <v>-37</v>
      </c>
      <c r="J12" s="449">
        <v>7</v>
      </c>
    </row>
    <row r="13" spans="1:23" ht="15" customHeight="1">
      <c r="B13" s="399" t="s">
        <v>424</v>
      </c>
      <c r="C13" s="458">
        <v>232</v>
      </c>
      <c r="D13" s="458">
        <v>476</v>
      </c>
      <c r="E13" s="458">
        <v>489</v>
      </c>
      <c r="F13" s="458">
        <v>-90</v>
      </c>
      <c r="G13" s="449">
        <v>1106</v>
      </c>
      <c r="H13" s="458">
        <v>540</v>
      </c>
      <c r="I13" s="458">
        <v>-857</v>
      </c>
      <c r="J13" s="449">
        <v>517</v>
      </c>
    </row>
    <row r="14" spans="1:23" ht="15" customHeight="1">
      <c r="B14" s="399" t="s">
        <v>140</v>
      </c>
      <c r="C14" s="458">
        <v>92</v>
      </c>
      <c r="D14" s="458">
        <v>171</v>
      </c>
      <c r="E14" s="458">
        <v>94</v>
      </c>
      <c r="F14" s="458">
        <v>156</v>
      </c>
      <c r="G14" s="449">
        <v>513</v>
      </c>
      <c r="H14" s="458">
        <v>91</v>
      </c>
      <c r="I14" s="458">
        <v>168</v>
      </c>
      <c r="J14" s="449">
        <v>114</v>
      </c>
    </row>
    <row r="15" spans="1:23">
      <c r="B15" s="683"/>
      <c r="C15" s="683"/>
      <c r="D15" s="683"/>
      <c r="E15" s="683"/>
      <c r="F15" s="683"/>
      <c r="G15" s="683"/>
      <c r="H15" s="683"/>
      <c r="I15" s="458"/>
      <c r="J15" s="458"/>
    </row>
    <row r="16" spans="1:23" ht="27" customHeight="1">
      <c r="B16" s="683" t="s">
        <v>490</v>
      </c>
      <c r="C16" s="683"/>
      <c r="D16" s="683"/>
      <c r="E16" s="683"/>
      <c r="F16" s="683"/>
      <c r="G16" s="683"/>
      <c r="H16" s="683"/>
      <c r="I16" s="635"/>
      <c r="J16" s="635"/>
      <c r="W16" s="370"/>
    </row>
    <row r="17" spans="1:10" ht="14.25" customHeight="1">
      <c r="B17" s="683"/>
      <c r="C17" s="683"/>
      <c r="D17" s="683"/>
      <c r="E17" s="683"/>
      <c r="F17" s="683"/>
      <c r="G17" s="683"/>
      <c r="H17" s="683"/>
      <c r="I17" s="400"/>
      <c r="J17" s="400"/>
    </row>
    <row r="18" spans="1:10" ht="15" customHeight="1" thickBot="1">
      <c r="B18" s="419" t="s">
        <v>193</v>
      </c>
      <c r="C18" s="459"/>
      <c r="D18" s="459"/>
      <c r="E18" s="459"/>
      <c r="F18" s="459"/>
      <c r="G18" s="459"/>
      <c r="H18" s="459"/>
      <c r="I18" s="459"/>
      <c r="J18" s="459"/>
    </row>
    <row r="19" spans="1:10">
      <c r="B19" s="454" t="s">
        <v>450</v>
      </c>
      <c r="C19" s="460"/>
      <c r="D19" s="460"/>
      <c r="E19" s="460"/>
      <c r="F19" s="460"/>
      <c r="G19" s="460"/>
      <c r="H19" s="460"/>
      <c r="I19" s="460"/>
      <c r="J19" s="460"/>
    </row>
    <row r="20" spans="1:10" s="480" customFormat="1" ht="15.75" thickBot="1">
      <c r="A20"/>
      <c r="B20" s="456"/>
      <c r="C20" s="461" t="s">
        <v>454</v>
      </c>
      <c r="D20" s="461" t="s">
        <v>455</v>
      </c>
      <c r="E20" s="461" t="s">
        <v>456</v>
      </c>
      <c r="F20" s="461" t="s">
        <v>457</v>
      </c>
      <c r="G20" s="511">
        <v>2016</v>
      </c>
      <c r="H20" s="461" t="s">
        <v>458</v>
      </c>
      <c r="I20" s="461" t="s">
        <v>459</v>
      </c>
      <c r="J20" s="504" t="s">
        <v>540</v>
      </c>
    </row>
    <row r="21" spans="1:10">
      <c r="B21" s="399" t="s">
        <v>189</v>
      </c>
      <c r="C21" s="462">
        <v>2816</v>
      </c>
      <c r="D21" s="462">
        <v>3669</v>
      </c>
      <c r="E21" s="462">
        <v>4026</v>
      </c>
      <c r="F21" s="462">
        <v>4120</v>
      </c>
      <c r="G21" s="505">
        <v>14630</v>
      </c>
      <c r="H21" s="462">
        <v>3913</v>
      </c>
      <c r="I21" s="462">
        <v>3820</v>
      </c>
      <c r="J21" s="505">
        <v>3227</v>
      </c>
    </row>
    <row r="22" spans="1:10">
      <c r="B22" s="399" t="s">
        <v>424</v>
      </c>
      <c r="C22" s="462">
        <v>241</v>
      </c>
      <c r="D22" s="462">
        <v>400</v>
      </c>
      <c r="E22" s="462">
        <v>418</v>
      </c>
      <c r="F22" s="462">
        <v>85</v>
      </c>
      <c r="G22" s="505">
        <v>1145</v>
      </c>
      <c r="H22" s="462">
        <v>453</v>
      </c>
      <c r="I22" s="462">
        <v>-892</v>
      </c>
      <c r="J22" s="505">
        <v>459</v>
      </c>
    </row>
    <row r="23" spans="1:10">
      <c r="B23" s="399" t="s">
        <v>11</v>
      </c>
      <c r="C23" s="462">
        <v>24</v>
      </c>
      <c r="D23" s="462">
        <v>-3</v>
      </c>
      <c r="E23" s="462">
        <v>4</v>
      </c>
      <c r="F23" s="462">
        <v>-275</v>
      </c>
      <c r="G23" s="505">
        <v>-251</v>
      </c>
      <c r="H23" s="462">
        <v>22</v>
      </c>
      <c r="I23" s="462">
        <v>-1237</v>
      </c>
      <c r="J23" s="505">
        <v>3</v>
      </c>
    </row>
    <row r="24" spans="1:10" ht="17.25">
      <c r="B24" s="399" t="s">
        <v>484</v>
      </c>
      <c r="C24" s="462">
        <v>-78</v>
      </c>
      <c r="D24" s="462">
        <v>114</v>
      </c>
      <c r="E24" s="462">
        <v>-8</v>
      </c>
      <c r="F24" s="462">
        <v>26</v>
      </c>
      <c r="G24" s="505">
        <v>55</v>
      </c>
      <c r="H24" s="462">
        <v>20</v>
      </c>
      <c r="I24" s="462">
        <v>-37</v>
      </c>
      <c r="J24" s="505">
        <v>7</v>
      </c>
    </row>
    <row r="25" spans="1:10" ht="17.25">
      <c r="B25" s="399" t="s">
        <v>483</v>
      </c>
      <c r="C25" s="462">
        <v>296</v>
      </c>
      <c r="D25" s="462">
        <v>289</v>
      </c>
      <c r="E25" s="462">
        <v>422</v>
      </c>
      <c r="F25" s="462">
        <v>333</v>
      </c>
      <c r="G25" s="505">
        <v>1341</v>
      </c>
      <c r="H25" s="462">
        <v>411</v>
      </c>
      <c r="I25" s="462">
        <v>382</v>
      </c>
      <c r="J25" s="505">
        <v>450</v>
      </c>
    </row>
    <row r="26" spans="1:10">
      <c r="B26" s="469" t="s">
        <v>19</v>
      </c>
      <c r="C26" s="499">
        <v>53</v>
      </c>
      <c r="D26" s="499">
        <v>57</v>
      </c>
      <c r="E26" s="499">
        <v>75</v>
      </c>
      <c r="F26" s="499">
        <v>53</v>
      </c>
      <c r="G26" s="506">
        <v>238</v>
      </c>
      <c r="H26" s="499">
        <v>74</v>
      </c>
      <c r="I26" s="499">
        <v>50</v>
      </c>
      <c r="J26" s="506">
        <v>84</v>
      </c>
    </row>
    <row r="27" spans="1:10" ht="29.25">
      <c r="B27" s="399" t="s">
        <v>542</v>
      </c>
      <c r="C27" s="669">
        <v>376</v>
      </c>
      <c r="D27" s="669">
        <v>539</v>
      </c>
      <c r="E27" s="669">
        <v>558</v>
      </c>
      <c r="F27" s="669">
        <v>559</v>
      </c>
      <c r="G27" s="670">
        <v>2031</v>
      </c>
      <c r="H27" s="669">
        <v>536</v>
      </c>
      <c r="I27" s="669">
        <v>-777</v>
      </c>
      <c r="J27" s="670">
        <v>559</v>
      </c>
    </row>
    <row r="28" spans="1:10" ht="31.5">
      <c r="B28" s="399" t="s">
        <v>544</v>
      </c>
      <c r="C28" s="669">
        <v>430</v>
      </c>
      <c r="D28" s="669">
        <v>428</v>
      </c>
      <c r="E28" s="669">
        <v>562</v>
      </c>
      <c r="F28" s="669">
        <v>474</v>
      </c>
      <c r="G28" s="670">
        <v>1893</v>
      </c>
      <c r="H28" s="669">
        <v>509</v>
      </c>
      <c r="I28" s="669">
        <v>481</v>
      </c>
      <c r="J28" s="670">
        <v>549</v>
      </c>
    </row>
    <row r="29" spans="1:10">
      <c r="B29" s="399" t="s">
        <v>140</v>
      </c>
      <c r="C29" s="462">
        <v>89</v>
      </c>
      <c r="D29" s="462">
        <v>166</v>
      </c>
      <c r="E29" s="462">
        <v>73</v>
      </c>
      <c r="F29" s="462">
        <v>135</v>
      </c>
      <c r="G29" s="505">
        <v>463</v>
      </c>
      <c r="H29" s="462">
        <v>84</v>
      </c>
      <c r="I29" s="462">
        <v>154</v>
      </c>
      <c r="J29" s="505">
        <v>83</v>
      </c>
    </row>
    <row r="30" spans="1:10">
      <c r="B30" s="399"/>
      <c r="C30" s="400"/>
      <c r="D30" s="400"/>
      <c r="E30" s="400"/>
      <c r="F30" s="400"/>
      <c r="G30" s="507"/>
      <c r="H30" s="400"/>
      <c r="I30" s="400"/>
      <c r="J30" s="507"/>
    </row>
    <row r="31" spans="1:10" s="480" customFormat="1">
      <c r="A31"/>
      <c r="B31" s="486" t="s">
        <v>489</v>
      </c>
      <c r="C31" s="634"/>
      <c r="D31" s="634"/>
      <c r="E31" s="634"/>
      <c r="F31" s="634"/>
      <c r="G31" s="661"/>
      <c r="H31" s="634"/>
      <c r="I31" s="634"/>
      <c r="J31" s="661"/>
    </row>
    <row r="32" spans="1:10" ht="17.25">
      <c r="B32" s="399" t="s">
        <v>485</v>
      </c>
      <c r="C32" s="463">
        <v>5.08</v>
      </c>
      <c r="D32" s="463">
        <v>4.67</v>
      </c>
      <c r="E32" s="463">
        <v>3.69</v>
      </c>
      <c r="F32" s="463">
        <v>5.59</v>
      </c>
      <c r="G32" s="508">
        <v>4.75</v>
      </c>
      <c r="H32" s="463">
        <v>5.42</v>
      </c>
      <c r="I32" s="463">
        <v>6.03</v>
      </c>
      <c r="J32" s="508">
        <v>7.04</v>
      </c>
    </row>
    <row r="33" spans="1:23" ht="17.25">
      <c r="B33" s="399" t="s">
        <v>510</v>
      </c>
      <c r="C33" s="458">
        <v>507</v>
      </c>
      <c r="D33" s="458">
        <v>491</v>
      </c>
      <c r="E33" s="458">
        <v>533</v>
      </c>
      <c r="F33" s="458">
        <v>474</v>
      </c>
      <c r="G33" s="449">
        <v>501</v>
      </c>
      <c r="H33" s="458">
        <v>486</v>
      </c>
      <c r="I33" s="458">
        <v>580</v>
      </c>
      <c r="J33" s="449">
        <v>514</v>
      </c>
    </row>
    <row r="34" spans="1:23" ht="17.25">
      <c r="B34" s="399" t="s">
        <v>508</v>
      </c>
      <c r="C34" s="458">
        <v>241</v>
      </c>
      <c r="D34" s="458">
        <v>222</v>
      </c>
      <c r="E34" s="458">
        <v>278</v>
      </c>
      <c r="F34" s="458">
        <v>259</v>
      </c>
      <c r="G34" s="449">
        <v>250</v>
      </c>
      <c r="H34" s="458">
        <v>284</v>
      </c>
      <c r="I34" s="458">
        <v>408</v>
      </c>
      <c r="J34" s="449">
        <v>343</v>
      </c>
    </row>
    <row r="35" spans="1:23" ht="17.25">
      <c r="B35" s="399" t="s">
        <v>509</v>
      </c>
      <c r="C35" s="458">
        <v>374</v>
      </c>
      <c r="D35" s="458">
        <v>357</v>
      </c>
      <c r="E35" s="458">
        <v>405</v>
      </c>
      <c r="F35" s="458">
        <v>366</v>
      </c>
      <c r="G35" s="449">
        <v>375</v>
      </c>
      <c r="H35" s="458">
        <v>385</v>
      </c>
      <c r="I35" s="458">
        <v>494</v>
      </c>
      <c r="J35" s="449">
        <v>428</v>
      </c>
    </row>
    <row r="36" spans="1:23">
      <c r="B36" s="399" t="s">
        <v>20</v>
      </c>
      <c r="C36" s="463">
        <v>4.28</v>
      </c>
      <c r="D36" s="463">
        <v>3.54</v>
      </c>
      <c r="E36" s="463">
        <v>4.71</v>
      </c>
      <c r="F36" s="463">
        <v>4.67</v>
      </c>
      <c r="G36" s="508">
        <v>17.190000000000001</v>
      </c>
      <c r="H36" s="463">
        <v>4.5599999999999996</v>
      </c>
      <c r="I36" s="463">
        <v>3.83</v>
      </c>
      <c r="J36" s="508">
        <v>4.71</v>
      </c>
    </row>
    <row r="37" spans="1:23">
      <c r="B37" s="399" t="s">
        <v>407</v>
      </c>
      <c r="C37" s="458">
        <v>90</v>
      </c>
      <c r="D37" s="458">
        <v>72</v>
      </c>
      <c r="E37" s="458">
        <v>97</v>
      </c>
      <c r="F37" s="458">
        <v>96</v>
      </c>
      <c r="G37" s="449">
        <v>89</v>
      </c>
      <c r="H37" s="458">
        <v>96</v>
      </c>
      <c r="I37" s="458">
        <v>77</v>
      </c>
      <c r="J37" s="449">
        <v>96</v>
      </c>
    </row>
    <row r="38" spans="1:23">
      <c r="B38" s="399" t="s">
        <v>21</v>
      </c>
      <c r="C38" s="463">
        <v>6.82</v>
      </c>
      <c r="D38" s="463">
        <v>7.65</v>
      </c>
      <c r="E38" s="463">
        <v>8.4</v>
      </c>
      <c r="F38" s="463">
        <v>7.87</v>
      </c>
      <c r="G38" s="508">
        <v>30.74</v>
      </c>
      <c r="H38" s="463">
        <v>6.54</v>
      </c>
      <c r="I38" s="463">
        <v>6.94</v>
      </c>
      <c r="J38" s="508">
        <v>5.39</v>
      </c>
    </row>
    <row r="39" spans="1:23">
      <c r="B39" s="469" t="s">
        <v>232</v>
      </c>
      <c r="C39" s="470">
        <v>2.2200000000000002</v>
      </c>
      <c r="D39" s="470">
        <v>2.62</v>
      </c>
      <c r="E39" s="470">
        <v>2.89</v>
      </c>
      <c r="F39" s="470">
        <v>2.67</v>
      </c>
      <c r="G39" s="509">
        <v>10.4</v>
      </c>
      <c r="H39" s="470">
        <v>2.34</v>
      </c>
      <c r="I39" s="470">
        <v>2.52</v>
      </c>
      <c r="J39" s="509">
        <v>1.72</v>
      </c>
    </row>
    <row r="40" spans="1:23">
      <c r="B40" s="469" t="s">
        <v>22</v>
      </c>
      <c r="C40" s="470">
        <v>0.6</v>
      </c>
      <c r="D40" s="470">
        <v>0.56000000000000005</v>
      </c>
      <c r="E40" s="470">
        <v>0.59</v>
      </c>
      <c r="F40" s="470">
        <v>0.56999999999999995</v>
      </c>
      <c r="G40" s="509">
        <v>2.31</v>
      </c>
      <c r="H40" s="470">
        <v>0.59</v>
      </c>
      <c r="I40" s="470">
        <v>0.41</v>
      </c>
      <c r="J40" s="509">
        <v>0.61</v>
      </c>
    </row>
    <row r="41" spans="1:23">
      <c r="B41" s="399" t="s">
        <v>231</v>
      </c>
      <c r="C41" s="458">
        <v>3766</v>
      </c>
      <c r="D41" s="458">
        <v>3819</v>
      </c>
      <c r="E41" s="458">
        <v>3798</v>
      </c>
      <c r="F41" s="458">
        <v>3777</v>
      </c>
      <c r="G41" s="449">
        <v>3777</v>
      </c>
      <c r="H41" s="458">
        <v>3733</v>
      </c>
      <c r="I41" s="458">
        <v>2046</v>
      </c>
      <c r="J41" s="449">
        <v>2045</v>
      </c>
    </row>
    <row r="42" spans="1:23">
      <c r="B42" s="399"/>
      <c r="C42" s="400"/>
      <c r="D42" s="400"/>
      <c r="E42" s="400"/>
      <c r="F42" s="400"/>
      <c r="G42" s="400"/>
      <c r="H42" s="400"/>
      <c r="I42" s="400"/>
      <c r="J42" s="400"/>
    </row>
    <row r="43" spans="1:23" ht="27" customHeight="1">
      <c r="A43" s="370"/>
      <c r="B43" s="683" t="s">
        <v>490</v>
      </c>
      <c r="C43" s="683"/>
      <c r="D43" s="683"/>
      <c r="E43" s="683"/>
      <c r="F43" s="683"/>
      <c r="G43" s="683"/>
      <c r="H43" s="683"/>
      <c r="I43" s="635"/>
      <c r="J43" s="635"/>
      <c r="W43" s="370"/>
    </row>
    <row r="44" spans="1:23" ht="27" customHeight="1">
      <c r="A44" s="370"/>
      <c r="B44" s="683" t="s">
        <v>496</v>
      </c>
      <c r="C44" s="683"/>
      <c r="D44" s="683"/>
      <c r="E44" s="683"/>
      <c r="F44" s="683"/>
      <c r="G44" s="683"/>
      <c r="H44" s="683"/>
      <c r="I44" s="635"/>
      <c r="J44" s="635"/>
      <c r="W44" s="370"/>
    </row>
    <row r="45" spans="1:23">
      <c r="B45" s="683" t="s">
        <v>497</v>
      </c>
      <c r="C45" s="683"/>
      <c r="D45" s="683"/>
      <c r="E45" s="683"/>
      <c r="F45" s="683"/>
      <c r="G45" s="683"/>
      <c r="H45" s="683"/>
      <c r="I45" s="635"/>
      <c r="J45" s="635"/>
    </row>
    <row r="46" spans="1:23">
      <c r="B46" s="400"/>
      <c r="C46" s="400"/>
      <c r="D46" s="400"/>
      <c r="E46" s="400"/>
      <c r="F46" s="400"/>
      <c r="G46" s="400"/>
      <c r="H46" s="400"/>
      <c r="I46" s="400"/>
      <c r="J46" s="400"/>
    </row>
    <row r="47" spans="1:23" ht="15.75" thickBot="1">
      <c r="B47" s="419" t="s">
        <v>548</v>
      </c>
      <c r="C47" s="459"/>
      <c r="D47" s="459"/>
      <c r="E47" s="459"/>
      <c r="F47" s="459"/>
      <c r="G47" s="459"/>
      <c r="H47" s="459"/>
      <c r="I47" s="459"/>
      <c r="J47" s="459"/>
    </row>
    <row r="48" spans="1:23">
      <c r="B48" s="454" t="s">
        <v>450</v>
      </c>
      <c r="C48" s="460"/>
      <c r="D48" s="460"/>
      <c r="E48" s="460"/>
      <c r="F48" s="460"/>
      <c r="G48" s="460"/>
      <c r="H48" s="460"/>
      <c r="I48" s="460"/>
      <c r="J48" s="460"/>
    </row>
    <row r="49" spans="1:10" ht="15.75" thickBot="1">
      <c r="B49" s="456"/>
      <c r="C49" s="461" t="s">
        <v>454</v>
      </c>
      <c r="D49" s="461" t="s">
        <v>455</v>
      </c>
      <c r="E49" s="461" t="s">
        <v>456</v>
      </c>
      <c r="F49" s="461" t="s">
        <v>457</v>
      </c>
      <c r="G49" s="511">
        <v>2016</v>
      </c>
      <c r="H49" s="461" t="s">
        <v>458</v>
      </c>
      <c r="I49" s="461" t="s">
        <v>459</v>
      </c>
      <c r="J49" s="504" t="s">
        <v>540</v>
      </c>
    </row>
    <row r="50" spans="1:10">
      <c r="B50" s="399" t="s">
        <v>424</v>
      </c>
      <c r="C50" s="458">
        <v>69</v>
      </c>
      <c r="D50" s="458">
        <v>68</v>
      </c>
      <c r="E50" s="458">
        <v>84</v>
      </c>
      <c r="F50" s="458">
        <v>66</v>
      </c>
      <c r="G50" s="449">
        <v>287</v>
      </c>
      <c r="H50" s="458">
        <v>67</v>
      </c>
      <c r="I50" s="458">
        <v>77</v>
      </c>
      <c r="J50" s="449">
        <v>115</v>
      </c>
    </row>
    <row r="51" spans="1:10">
      <c r="B51" s="399" t="s">
        <v>11</v>
      </c>
      <c r="C51" s="458">
        <v>26</v>
      </c>
      <c r="D51" s="458">
        <v>0</v>
      </c>
      <c r="E51" s="458">
        <v>7</v>
      </c>
      <c r="F51" s="458">
        <v>-21</v>
      </c>
      <c r="G51" s="449">
        <v>13</v>
      </c>
      <c r="H51" s="458">
        <v>1</v>
      </c>
      <c r="I51" s="458">
        <v>0</v>
      </c>
      <c r="J51" s="449">
        <v>-3</v>
      </c>
    </row>
    <row r="52" spans="1:10" ht="17.25">
      <c r="B52" s="399" t="s">
        <v>484</v>
      </c>
      <c r="C52" s="458">
        <v>-14</v>
      </c>
      <c r="D52" s="458">
        <v>30</v>
      </c>
      <c r="E52" s="458">
        <v>-14</v>
      </c>
      <c r="F52" s="458">
        <v>24</v>
      </c>
      <c r="G52" s="449">
        <v>27</v>
      </c>
      <c r="H52" s="458">
        <v>4</v>
      </c>
      <c r="I52" s="458">
        <v>-10</v>
      </c>
      <c r="J52" s="449">
        <v>-1</v>
      </c>
    </row>
    <row r="53" spans="1:10" ht="17.25">
      <c r="B53" s="399" t="s">
        <v>483</v>
      </c>
      <c r="C53" s="458">
        <v>57</v>
      </c>
      <c r="D53" s="458">
        <v>37</v>
      </c>
      <c r="E53" s="458">
        <v>90</v>
      </c>
      <c r="F53" s="458">
        <v>64</v>
      </c>
      <c r="G53" s="449">
        <v>247</v>
      </c>
      <c r="H53" s="458">
        <v>62</v>
      </c>
      <c r="I53" s="458">
        <v>87</v>
      </c>
      <c r="J53" s="449">
        <v>118</v>
      </c>
    </row>
    <row r="54" spans="1:10">
      <c r="B54" s="400"/>
      <c r="C54" s="400"/>
      <c r="D54" s="400"/>
      <c r="E54" s="400"/>
      <c r="F54" s="400"/>
      <c r="G54" s="507"/>
      <c r="H54" s="400"/>
      <c r="I54" s="400"/>
      <c r="J54" s="507"/>
    </row>
    <row r="55" spans="1:10" s="480" customFormat="1">
      <c r="A55"/>
      <c r="B55" s="486" t="s">
        <v>489</v>
      </c>
      <c r="C55" s="662"/>
      <c r="D55" s="662"/>
      <c r="E55" s="662"/>
      <c r="F55" s="662"/>
      <c r="G55" s="663"/>
      <c r="H55" s="662"/>
      <c r="I55" s="662"/>
      <c r="J55" s="663"/>
    </row>
    <row r="56" spans="1:10" ht="17.25">
      <c r="B56" s="399" t="s">
        <v>531</v>
      </c>
      <c r="C56" s="463">
        <v>8.06</v>
      </c>
      <c r="D56" s="463">
        <v>6.82</v>
      </c>
      <c r="E56" s="463">
        <v>5.96</v>
      </c>
      <c r="F56" s="463">
        <v>7.14</v>
      </c>
      <c r="G56" s="508">
        <v>6.98</v>
      </c>
      <c r="H56" s="463">
        <v>7.58</v>
      </c>
      <c r="I56" s="463">
        <v>8.51</v>
      </c>
      <c r="J56" s="508">
        <v>8.75</v>
      </c>
    </row>
    <row r="57" spans="1:10">
      <c r="B57" s="399" t="s">
        <v>20</v>
      </c>
      <c r="C57" s="463">
        <v>1.1000000000000001</v>
      </c>
      <c r="D57" s="463">
        <v>0.81</v>
      </c>
      <c r="E57" s="463">
        <v>1.1599999999999999</v>
      </c>
      <c r="F57" s="463">
        <v>1.1499999999999999</v>
      </c>
      <c r="G57" s="508">
        <v>4.22</v>
      </c>
      <c r="H57" s="463">
        <v>1.1000000000000001</v>
      </c>
      <c r="I57" s="463">
        <v>1.1299999999999999</v>
      </c>
      <c r="J57" s="508">
        <v>1.1499999999999999</v>
      </c>
    </row>
    <row r="58" spans="1:10">
      <c r="B58" s="399" t="s">
        <v>407</v>
      </c>
      <c r="C58" s="458">
        <v>94</v>
      </c>
      <c r="D58" s="458">
        <v>68</v>
      </c>
      <c r="E58" s="458">
        <v>97</v>
      </c>
      <c r="F58" s="458">
        <v>96</v>
      </c>
      <c r="G58" s="449">
        <v>89</v>
      </c>
      <c r="H58" s="458">
        <v>95</v>
      </c>
      <c r="I58" s="458">
        <v>94</v>
      </c>
      <c r="J58" s="449">
        <v>93</v>
      </c>
    </row>
    <row r="59" spans="1:10">
      <c r="B59" s="399" t="s">
        <v>21</v>
      </c>
      <c r="C59" s="463">
        <v>1.1000000000000001</v>
      </c>
      <c r="D59" s="463">
        <v>1.1299999999999999</v>
      </c>
      <c r="E59" s="463">
        <v>1.35</v>
      </c>
      <c r="F59" s="463">
        <v>1.23</v>
      </c>
      <c r="G59" s="508">
        <v>4.82</v>
      </c>
      <c r="H59" s="463">
        <v>1.07</v>
      </c>
      <c r="I59" s="463">
        <v>1.23</v>
      </c>
      <c r="J59" s="508">
        <v>1.35</v>
      </c>
    </row>
    <row r="60" spans="1:10">
      <c r="B60" s="469" t="s">
        <v>232</v>
      </c>
      <c r="C60" s="470">
        <v>0.55000000000000004</v>
      </c>
      <c r="D60" s="470">
        <v>0.63</v>
      </c>
      <c r="E60" s="470">
        <v>0.73</v>
      </c>
      <c r="F60" s="470">
        <v>0.65</v>
      </c>
      <c r="G60" s="509">
        <v>2.56</v>
      </c>
      <c r="H60" s="470">
        <v>0.56999999999999995</v>
      </c>
      <c r="I60" s="470">
        <v>0.68</v>
      </c>
      <c r="J60" s="509">
        <v>0.78</v>
      </c>
    </row>
    <row r="61" spans="1:10">
      <c r="B61" s="399" t="s">
        <v>231</v>
      </c>
      <c r="C61" s="458">
        <v>783</v>
      </c>
      <c r="D61" s="458">
        <v>784</v>
      </c>
      <c r="E61" s="458">
        <v>786</v>
      </c>
      <c r="F61" s="458">
        <v>783</v>
      </c>
      <c r="G61" s="449">
        <v>783</v>
      </c>
      <c r="H61" s="458">
        <v>784</v>
      </c>
      <c r="I61" s="458">
        <v>785</v>
      </c>
      <c r="J61" s="449">
        <v>787</v>
      </c>
    </row>
    <row r="62" spans="1:10">
      <c r="B62" s="399"/>
      <c r="C62" s="458"/>
      <c r="D62" s="458"/>
      <c r="E62" s="458"/>
      <c r="F62" s="458"/>
      <c r="G62" s="458"/>
      <c r="H62" s="458"/>
      <c r="I62" s="458"/>
      <c r="J62" s="458"/>
    </row>
    <row r="63" spans="1:10" ht="28.5" customHeight="1">
      <c r="B63" s="683" t="s">
        <v>490</v>
      </c>
      <c r="C63" s="683"/>
      <c r="D63" s="683"/>
      <c r="E63" s="683"/>
      <c r="F63" s="683"/>
      <c r="G63" s="683"/>
      <c r="H63" s="683"/>
      <c r="I63" s="635"/>
      <c r="J63" s="635"/>
    </row>
    <row r="64" spans="1:10" ht="27" customHeight="1">
      <c r="B64" s="683" t="s">
        <v>496</v>
      </c>
      <c r="C64" s="683"/>
      <c r="D64" s="683"/>
      <c r="E64" s="683"/>
      <c r="F64" s="683"/>
      <c r="G64" s="683"/>
      <c r="H64" s="683"/>
      <c r="I64" s="635"/>
      <c r="J64" s="635"/>
    </row>
    <row r="65" spans="1:10">
      <c r="B65" s="399"/>
      <c r="C65" s="400"/>
      <c r="D65" s="400"/>
      <c r="E65" s="400"/>
      <c r="F65" s="400"/>
      <c r="G65" s="400"/>
      <c r="H65" s="400"/>
      <c r="I65" s="400"/>
      <c r="J65" s="400"/>
    </row>
    <row r="66" spans="1:10" ht="15.75" thickBot="1">
      <c r="B66" s="419" t="s">
        <v>195</v>
      </c>
      <c r="C66" s="459"/>
      <c r="D66" s="459"/>
      <c r="E66" s="459"/>
      <c r="F66" s="459"/>
      <c r="G66" s="459"/>
      <c r="H66" s="459"/>
      <c r="I66" s="459"/>
      <c r="J66" s="459"/>
    </row>
    <row r="67" spans="1:10">
      <c r="B67" s="454" t="s">
        <v>450</v>
      </c>
      <c r="C67" s="460"/>
      <c r="D67" s="460"/>
      <c r="E67" s="460"/>
      <c r="F67" s="460"/>
      <c r="G67" s="460"/>
      <c r="H67" s="460"/>
      <c r="I67" s="460"/>
      <c r="J67" s="460"/>
    </row>
    <row r="68" spans="1:10" ht="15.75" thickBot="1">
      <c r="B68" s="456"/>
      <c r="C68" s="461" t="s">
        <v>454</v>
      </c>
      <c r="D68" s="461" t="s">
        <v>455</v>
      </c>
      <c r="E68" s="461" t="s">
        <v>456</v>
      </c>
      <c r="F68" s="461" t="s">
        <v>457</v>
      </c>
      <c r="G68" s="511">
        <v>2016</v>
      </c>
      <c r="H68" s="461" t="s">
        <v>458</v>
      </c>
      <c r="I68" s="461" t="s">
        <v>459</v>
      </c>
      <c r="J68" s="504" t="s">
        <v>540</v>
      </c>
    </row>
    <row r="69" spans="1:10">
      <c r="B69" s="399" t="s">
        <v>424</v>
      </c>
      <c r="C69" s="458">
        <v>20</v>
      </c>
      <c r="D69" s="458">
        <v>35</v>
      </c>
      <c r="E69" s="458">
        <v>31</v>
      </c>
      <c r="F69" s="458">
        <v>-232</v>
      </c>
      <c r="G69" s="449">
        <v>-146</v>
      </c>
      <c r="H69" s="458">
        <v>70</v>
      </c>
      <c r="I69" s="458">
        <v>28</v>
      </c>
      <c r="J69" s="449">
        <v>-2</v>
      </c>
    </row>
    <row r="70" spans="1:10">
      <c r="B70" s="399" t="s">
        <v>11</v>
      </c>
      <c r="C70" s="458">
        <v>0</v>
      </c>
      <c r="D70" s="458">
        <v>-1</v>
      </c>
      <c r="E70" s="458">
        <v>0</v>
      </c>
      <c r="F70" s="458">
        <v>-256</v>
      </c>
      <c r="G70" s="449">
        <v>-257</v>
      </c>
      <c r="H70" s="458">
        <v>17</v>
      </c>
      <c r="I70" s="458">
        <v>-17</v>
      </c>
      <c r="J70" s="449">
        <v>-2</v>
      </c>
    </row>
    <row r="71" spans="1:10" ht="17.25">
      <c r="B71" s="399" t="s">
        <v>484</v>
      </c>
      <c r="C71" s="458">
        <v>2</v>
      </c>
      <c r="D71" s="458">
        <v>4</v>
      </c>
      <c r="E71" s="458">
        <v>-5</v>
      </c>
      <c r="F71" s="458">
        <v>-7</v>
      </c>
      <c r="G71" s="449">
        <v>-6</v>
      </c>
      <c r="H71" s="458">
        <v>-1</v>
      </c>
      <c r="I71" s="458">
        <v>1</v>
      </c>
      <c r="J71" s="644"/>
    </row>
    <row r="72" spans="1:10" ht="17.25">
      <c r="B72" s="399" t="s">
        <v>483</v>
      </c>
      <c r="C72" s="458">
        <v>18</v>
      </c>
      <c r="D72" s="458">
        <v>31</v>
      </c>
      <c r="E72" s="458">
        <v>36</v>
      </c>
      <c r="F72" s="458">
        <v>32</v>
      </c>
      <c r="G72" s="449">
        <v>116</v>
      </c>
      <c r="H72" s="458">
        <v>53</v>
      </c>
      <c r="I72" s="458">
        <v>44</v>
      </c>
      <c r="J72" s="449">
        <v>0</v>
      </c>
    </row>
    <row r="73" spans="1:10">
      <c r="B73" s="399"/>
      <c r="C73" s="400"/>
      <c r="D73" s="400"/>
      <c r="E73" s="400"/>
      <c r="F73" s="400"/>
      <c r="G73" s="507"/>
      <c r="H73" s="400"/>
      <c r="I73" s="400"/>
      <c r="J73" s="507"/>
    </row>
    <row r="74" spans="1:10" s="480" customFormat="1">
      <c r="A74"/>
      <c r="B74" s="486" t="s">
        <v>489</v>
      </c>
      <c r="C74" s="662"/>
      <c r="D74" s="662"/>
      <c r="E74" s="662"/>
      <c r="F74" s="662"/>
      <c r="G74" s="663"/>
      <c r="H74" s="662"/>
      <c r="I74" s="662"/>
      <c r="J74" s="663"/>
    </row>
    <row r="75" spans="1:10">
      <c r="B75" s="399" t="s">
        <v>21</v>
      </c>
      <c r="C75" s="463">
        <v>2.2599999999999998</v>
      </c>
      <c r="D75" s="463">
        <v>2.71</v>
      </c>
      <c r="E75" s="463">
        <v>2.92</v>
      </c>
      <c r="F75" s="463">
        <v>2.79</v>
      </c>
      <c r="G75" s="508">
        <v>10.68</v>
      </c>
      <c r="H75" s="463">
        <v>2.02</v>
      </c>
      <c r="I75" s="463">
        <v>2.0299999999999998</v>
      </c>
      <c r="J75" s="644"/>
    </row>
    <row r="76" spans="1:10">
      <c r="B76" s="469" t="s">
        <v>232</v>
      </c>
      <c r="C76" s="470">
        <v>0.92</v>
      </c>
      <c r="D76" s="470">
        <v>1.1299999999999999</v>
      </c>
      <c r="E76" s="470">
        <v>1.22</v>
      </c>
      <c r="F76" s="470">
        <v>1.1599999999999999</v>
      </c>
      <c r="G76" s="509">
        <v>4.43</v>
      </c>
      <c r="H76" s="470">
        <v>0.95</v>
      </c>
      <c r="I76" s="470">
        <v>0.95</v>
      </c>
      <c r="J76" s="644"/>
    </row>
    <row r="77" spans="1:10">
      <c r="B77" s="399" t="s">
        <v>231</v>
      </c>
      <c r="C77" s="458">
        <v>1751</v>
      </c>
      <c r="D77" s="458">
        <v>1734</v>
      </c>
      <c r="E77" s="458">
        <v>1716</v>
      </c>
      <c r="F77" s="458">
        <v>1709</v>
      </c>
      <c r="G77" s="449">
        <v>1709</v>
      </c>
      <c r="H77" s="458">
        <v>1684</v>
      </c>
      <c r="I77" s="654"/>
      <c r="J77" s="644"/>
    </row>
    <row r="78" spans="1:10">
      <c r="B78" s="399"/>
      <c r="C78" s="458"/>
      <c r="D78" s="458"/>
      <c r="E78" s="458"/>
      <c r="F78" s="458"/>
      <c r="G78" s="458"/>
      <c r="H78" s="458"/>
      <c r="I78" s="458"/>
      <c r="J78" s="458"/>
    </row>
    <row r="79" spans="1:10" ht="25.5" customHeight="1">
      <c r="B79" s="683" t="s">
        <v>490</v>
      </c>
      <c r="C79" s="683"/>
      <c r="D79" s="683"/>
      <c r="E79" s="683"/>
      <c r="F79" s="683"/>
      <c r="G79" s="683"/>
      <c r="H79" s="683"/>
      <c r="I79" s="635"/>
      <c r="J79" s="635"/>
    </row>
    <row r="80" spans="1:10">
      <c r="B80" s="399"/>
      <c r="C80" s="400"/>
      <c r="D80" s="400"/>
      <c r="E80" s="400"/>
      <c r="F80" s="400"/>
      <c r="G80" s="400"/>
      <c r="H80" s="400"/>
      <c r="I80" s="400"/>
      <c r="J80" s="400"/>
    </row>
    <row r="81" spans="1:10" ht="15.75" thickBot="1">
      <c r="B81" s="419" t="s">
        <v>549</v>
      </c>
      <c r="C81" s="459"/>
      <c r="D81" s="459"/>
      <c r="E81" s="459"/>
      <c r="F81" s="459"/>
      <c r="G81" s="459"/>
      <c r="H81" s="459"/>
      <c r="I81" s="459"/>
      <c r="J81" s="459"/>
    </row>
    <row r="82" spans="1:10">
      <c r="B82" s="454" t="s">
        <v>450</v>
      </c>
      <c r="C82" s="460"/>
      <c r="D82" s="460"/>
      <c r="E82" s="460"/>
      <c r="F82" s="460"/>
      <c r="G82" s="460"/>
      <c r="H82" s="460"/>
      <c r="I82" s="460"/>
      <c r="J82" s="460"/>
    </row>
    <row r="83" spans="1:10" ht="15.75" thickBot="1">
      <c r="B83" s="456"/>
      <c r="C83" s="461" t="s">
        <v>454</v>
      </c>
      <c r="D83" s="461" t="s">
        <v>455</v>
      </c>
      <c r="E83" s="461" t="s">
        <v>456</v>
      </c>
      <c r="F83" s="461" t="s">
        <v>457</v>
      </c>
      <c r="G83" s="511">
        <v>2016</v>
      </c>
      <c r="H83" s="461" t="s">
        <v>458</v>
      </c>
      <c r="I83" s="461" t="s">
        <v>459</v>
      </c>
      <c r="J83" s="504" t="s">
        <v>540</v>
      </c>
    </row>
    <row r="84" spans="1:10">
      <c r="B84" s="399" t="s">
        <v>424</v>
      </c>
      <c r="C84" s="458">
        <v>153</v>
      </c>
      <c r="D84" s="458">
        <v>298</v>
      </c>
      <c r="E84" s="458">
        <v>303</v>
      </c>
      <c r="F84" s="458">
        <v>250</v>
      </c>
      <c r="G84" s="449">
        <v>1004</v>
      </c>
      <c r="H84" s="458">
        <v>317</v>
      </c>
      <c r="I84" s="458">
        <v>-997</v>
      </c>
      <c r="J84" s="449">
        <v>346</v>
      </c>
    </row>
    <row r="85" spans="1:10">
      <c r="B85" s="399" t="s">
        <v>11</v>
      </c>
      <c r="C85" s="458">
        <v>-3</v>
      </c>
      <c r="D85" s="458">
        <v>-3</v>
      </c>
      <c r="E85" s="458">
        <v>-3</v>
      </c>
      <c r="F85" s="458">
        <v>2</v>
      </c>
      <c r="G85" s="449">
        <v>-7</v>
      </c>
      <c r="H85" s="458">
        <v>4</v>
      </c>
      <c r="I85" s="458">
        <v>-1220</v>
      </c>
      <c r="J85" s="449">
        <v>7</v>
      </c>
    </row>
    <row r="86" spans="1:10" ht="17.25">
      <c r="B86" s="399" t="s">
        <v>484</v>
      </c>
      <c r="C86" s="458">
        <v>-67</v>
      </c>
      <c r="D86" s="458">
        <v>80</v>
      </c>
      <c r="E86" s="458">
        <v>11</v>
      </c>
      <c r="F86" s="458">
        <v>10</v>
      </c>
      <c r="G86" s="449">
        <v>34</v>
      </c>
      <c r="H86" s="458">
        <v>16</v>
      </c>
      <c r="I86" s="458">
        <v>-28</v>
      </c>
      <c r="J86" s="449">
        <v>8</v>
      </c>
    </row>
    <row r="87" spans="1:10" ht="17.25">
      <c r="B87" s="399" t="s">
        <v>483</v>
      </c>
      <c r="C87" s="458">
        <v>222</v>
      </c>
      <c r="D87" s="458">
        <v>222</v>
      </c>
      <c r="E87" s="458">
        <v>296</v>
      </c>
      <c r="F87" s="458">
        <v>238</v>
      </c>
      <c r="G87" s="449">
        <v>977</v>
      </c>
      <c r="H87" s="458">
        <v>296</v>
      </c>
      <c r="I87" s="458">
        <v>251</v>
      </c>
      <c r="J87" s="449">
        <v>332</v>
      </c>
    </row>
    <row r="88" spans="1:10">
      <c r="B88" s="469" t="s">
        <v>19</v>
      </c>
      <c r="C88" s="498">
        <v>53</v>
      </c>
      <c r="D88" s="498">
        <v>57</v>
      </c>
      <c r="E88" s="498">
        <v>75</v>
      </c>
      <c r="F88" s="498">
        <v>53</v>
      </c>
      <c r="G88" s="503">
        <v>238</v>
      </c>
      <c r="H88" s="498">
        <v>74</v>
      </c>
      <c r="I88" s="498">
        <v>50</v>
      </c>
      <c r="J88" s="503">
        <v>84</v>
      </c>
    </row>
    <row r="89" spans="1:10">
      <c r="B89" s="399"/>
      <c r="C89" s="400"/>
      <c r="D89" s="400"/>
      <c r="E89" s="400"/>
      <c r="F89" s="400"/>
      <c r="G89" s="507"/>
      <c r="H89" s="400"/>
      <c r="I89" s="400"/>
      <c r="J89" s="507"/>
    </row>
    <row r="90" spans="1:10" s="480" customFormat="1">
      <c r="A90"/>
      <c r="B90" s="486" t="s">
        <v>489</v>
      </c>
      <c r="C90" s="662"/>
      <c r="D90" s="662"/>
      <c r="E90" s="662"/>
      <c r="F90" s="662"/>
      <c r="G90" s="663"/>
      <c r="H90" s="662"/>
      <c r="I90" s="662"/>
      <c r="J90" s="663"/>
    </row>
    <row r="91" spans="1:10" s="402" customFormat="1" ht="17.25">
      <c r="A91"/>
      <c r="B91" s="399" t="s">
        <v>532</v>
      </c>
      <c r="C91" s="463">
        <v>4.09</v>
      </c>
      <c r="D91" s="463">
        <v>3.96</v>
      </c>
      <c r="E91" s="463">
        <v>2.93</v>
      </c>
      <c r="F91" s="463">
        <v>5.08</v>
      </c>
      <c r="G91" s="508">
        <v>4.01</v>
      </c>
      <c r="H91" s="463">
        <v>4.7</v>
      </c>
      <c r="I91" s="463">
        <v>5.21</v>
      </c>
      <c r="J91" s="508">
        <v>6.47</v>
      </c>
    </row>
    <row r="92" spans="1:10" s="402" customFormat="1">
      <c r="A92"/>
      <c r="B92" s="399" t="s">
        <v>20</v>
      </c>
      <c r="C92" s="463">
        <v>3.18</v>
      </c>
      <c r="D92" s="463">
        <v>2.73</v>
      </c>
      <c r="E92" s="463">
        <v>3.54</v>
      </c>
      <c r="F92" s="463">
        <v>3.52</v>
      </c>
      <c r="G92" s="508">
        <v>12.98</v>
      </c>
      <c r="H92" s="463">
        <v>3.46</v>
      </c>
      <c r="I92" s="463">
        <v>2.7</v>
      </c>
      <c r="J92" s="508">
        <v>3.56</v>
      </c>
    </row>
    <row r="93" spans="1:10">
      <c r="B93" s="399" t="s">
        <v>407</v>
      </c>
      <c r="C93" s="458">
        <v>89</v>
      </c>
      <c r="D93" s="458">
        <v>74</v>
      </c>
      <c r="E93" s="458">
        <v>96</v>
      </c>
      <c r="F93" s="458">
        <v>96</v>
      </c>
      <c r="G93" s="449">
        <v>89</v>
      </c>
      <c r="H93" s="458">
        <v>96</v>
      </c>
      <c r="I93" s="458">
        <v>71</v>
      </c>
      <c r="J93" s="449">
        <v>97</v>
      </c>
    </row>
    <row r="94" spans="1:10">
      <c r="B94" s="399" t="s">
        <v>21</v>
      </c>
      <c r="C94" s="463">
        <v>3.46</v>
      </c>
      <c r="D94" s="463">
        <v>3.81</v>
      </c>
      <c r="E94" s="463">
        <v>4.12</v>
      </c>
      <c r="F94" s="463">
        <v>3.85</v>
      </c>
      <c r="G94" s="508">
        <v>15.24</v>
      </c>
      <c r="H94" s="463">
        <v>3.45</v>
      </c>
      <c r="I94" s="463">
        <v>3.68</v>
      </c>
      <c r="J94" s="508">
        <v>4.04</v>
      </c>
    </row>
    <row r="95" spans="1:10">
      <c r="B95" s="469" t="s">
        <v>232</v>
      </c>
      <c r="C95" s="470">
        <v>0.75</v>
      </c>
      <c r="D95" s="470">
        <v>0.86</v>
      </c>
      <c r="E95" s="470">
        <v>0.94</v>
      </c>
      <c r="F95" s="470">
        <v>0.86</v>
      </c>
      <c r="G95" s="509">
        <v>3.41</v>
      </c>
      <c r="H95" s="470">
        <v>0.82</v>
      </c>
      <c r="I95" s="470">
        <v>0.89</v>
      </c>
      <c r="J95" s="509">
        <v>0.94</v>
      </c>
    </row>
    <row r="96" spans="1:10">
      <c r="B96" s="399" t="s">
        <v>231</v>
      </c>
      <c r="C96" s="458">
        <v>1232</v>
      </c>
      <c r="D96" s="458">
        <v>1301</v>
      </c>
      <c r="E96" s="458">
        <v>1296</v>
      </c>
      <c r="F96" s="458">
        <v>1285</v>
      </c>
      <c r="G96" s="449">
        <v>1285</v>
      </c>
      <c r="H96" s="458">
        <v>1265</v>
      </c>
      <c r="I96" s="458">
        <v>1261</v>
      </c>
      <c r="J96" s="449">
        <v>1258</v>
      </c>
    </row>
    <row r="97" spans="1:23">
      <c r="B97" s="400"/>
      <c r="C97" s="400"/>
      <c r="D97" s="400"/>
      <c r="E97" s="400"/>
      <c r="F97" s="400"/>
      <c r="G97" s="400"/>
      <c r="H97" s="400"/>
      <c r="I97" s="400"/>
      <c r="J97" s="400"/>
    </row>
    <row r="98" spans="1:23" ht="27.75" customHeight="1">
      <c r="A98" s="370"/>
      <c r="B98" s="683" t="s">
        <v>490</v>
      </c>
      <c r="C98" s="683"/>
      <c r="D98" s="683"/>
      <c r="E98" s="683"/>
      <c r="F98" s="683"/>
      <c r="G98" s="683"/>
      <c r="H98" s="683"/>
      <c r="I98" s="653"/>
      <c r="J98" s="653"/>
      <c r="W98" s="370"/>
    </row>
    <row r="99" spans="1:23" ht="27.75" customHeight="1">
      <c r="A99" s="370"/>
      <c r="B99" s="683" t="s">
        <v>496</v>
      </c>
      <c r="C99" s="683"/>
      <c r="D99" s="683"/>
      <c r="E99" s="683"/>
      <c r="F99" s="683"/>
      <c r="G99" s="683"/>
      <c r="H99" s="683"/>
      <c r="I99" s="653"/>
      <c r="J99" s="653"/>
      <c r="W99" s="370"/>
    </row>
    <row r="100" spans="1:23">
      <c r="B100" s="400"/>
      <c r="C100" s="400"/>
      <c r="D100" s="400"/>
      <c r="E100" s="400"/>
      <c r="F100" s="400"/>
      <c r="G100" s="400"/>
      <c r="H100" s="400"/>
      <c r="I100" s="400"/>
      <c r="J100" s="400"/>
    </row>
    <row r="101" spans="1:23" ht="15.75" thickBot="1">
      <c r="B101" s="419" t="s">
        <v>192</v>
      </c>
      <c r="C101" s="459"/>
      <c r="D101" s="459"/>
      <c r="E101" s="459"/>
      <c r="F101" s="459"/>
      <c r="G101" s="459"/>
      <c r="H101" s="459"/>
      <c r="I101" s="459"/>
      <c r="J101" s="459"/>
    </row>
    <row r="102" spans="1:23">
      <c r="B102" s="454" t="s">
        <v>450</v>
      </c>
      <c r="C102" s="460"/>
      <c r="D102" s="460"/>
      <c r="E102" s="460"/>
      <c r="F102" s="460"/>
      <c r="G102" s="460"/>
      <c r="H102" s="460"/>
      <c r="I102" s="460"/>
      <c r="J102" s="460"/>
    </row>
    <row r="103" spans="1:23" ht="15.75" thickBot="1">
      <c r="B103" s="456"/>
      <c r="C103" s="461" t="s">
        <v>454</v>
      </c>
      <c r="D103" s="461" t="s">
        <v>455</v>
      </c>
      <c r="E103" s="461" t="s">
        <v>456</v>
      </c>
      <c r="F103" s="461" t="s">
        <v>457</v>
      </c>
      <c r="G103" s="511">
        <v>2016</v>
      </c>
      <c r="H103" s="461" t="s">
        <v>458</v>
      </c>
      <c r="I103" s="461" t="s">
        <v>459</v>
      </c>
      <c r="J103" s="504" t="s">
        <v>540</v>
      </c>
    </row>
    <row r="104" spans="1:23">
      <c r="B104" s="399" t="s">
        <v>189</v>
      </c>
      <c r="C104" s="458">
        <v>1006</v>
      </c>
      <c r="D104" s="458">
        <v>785</v>
      </c>
      <c r="E104" s="458">
        <v>937</v>
      </c>
      <c r="F104" s="458">
        <v>1052</v>
      </c>
      <c r="G104" s="449">
        <v>3779</v>
      </c>
      <c r="H104" s="458">
        <v>1236</v>
      </c>
      <c r="I104" s="458">
        <v>1058</v>
      </c>
      <c r="J104" s="449">
        <v>1190</v>
      </c>
    </row>
    <row r="105" spans="1:23">
      <c r="B105" s="399" t="s">
        <v>424</v>
      </c>
      <c r="C105" s="458">
        <v>-10</v>
      </c>
      <c r="D105" s="458">
        <v>75</v>
      </c>
      <c r="E105" s="458">
        <v>71</v>
      </c>
      <c r="F105" s="458">
        <v>-175</v>
      </c>
      <c r="G105" s="449">
        <v>-38</v>
      </c>
      <c r="H105" s="458">
        <v>87</v>
      </c>
      <c r="I105" s="458">
        <v>35</v>
      </c>
      <c r="J105" s="449">
        <v>57</v>
      </c>
    </row>
    <row r="106" spans="1:23">
      <c r="B106" s="399" t="s">
        <v>11</v>
      </c>
      <c r="C106" s="458">
        <v>-33</v>
      </c>
      <c r="D106" s="458">
        <v>1</v>
      </c>
      <c r="E106" s="458">
        <v>5</v>
      </c>
      <c r="F106" s="458">
        <v>-203</v>
      </c>
      <c r="G106" s="449">
        <v>-231</v>
      </c>
      <c r="H106" s="458">
        <v>4</v>
      </c>
      <c r="I106" s="458">
        <v>6</v>
      </c>
      <c r="J106" s="449">
        <v>-3</v>
      </c>
    </row>
    <row r="107" spans="1:23">
      <c r="B107" s="399" t="s">
        <v>427</v>
      </c>
      <c r="C107" s="458">
        <v>23</v>
      </c>
      <c r="D107" s="458">
        <v>74</v>
      </c>
      <c r="E107" s="458">
        <v>66</v>
      </c>
      <c r="F107" s="458">
        <v>29</v>
      </c>
      <c r="G107" s="449">
        <v>192</v>
      </c>
      <c r="H107" s="458">
        <v>82</v>
      </c>
      <c r="I107" s="458">
        <v>29</v>
      </c>
      <c r="J107" s="449">
        <v>60</v>
      </c>
    </row>
    <row r="108" spans="1:23">
      <c r="B108" s="469" t="s">
        <v>216</v>
      </c>
      <c r="C108" s="498">
        <v>32</v>
      </c>
      <c r="D108" s="498">
        <v>32</v>
      </c>
      <c r="E108" s="498">
        <v>37</v>
      </c>
      <c r="F108" s="498">
        <v>30</v>
      </c>
      <c r="G108" s="503">
        <v>131</v>
      </c>
      <c r="H108" s="498">
        <v>26</v>
      </c>
      <c r="I108" s="498">
        <v>26</v>
      </c>
      <c r="J108" s="503">
        <v>24</v>
      </c>
    </row>
    <row r="109" spans="1:23" ht="29.25">
      <c r="B109" s="399" t="s">
        <v>542</v>
      </c>
      <c r="C109" s="597">
        <v>11</v>
      </c>
      <c r="D109" s="597">
        <v>97</v>
      </c>
      <c r="E109" s="597">
        <v>94</v>
      </c>
      <c r="F109" s="597">
        <v>24</v>
      </c>
      <c r="G109" s="598">
        <v>227</v>
      </c>
      <c r="H109" s="597">
        <v>106</v>
      </c>
      <c r="I109" s="597">
        <v>55</v>
      </c>
      <c r="J109" s="598">
        <v>86</v>
      </c>
    </row>
    <row r="110" spans="1:23" ht="29.25">
      <c r="B110" s="399" t="s">
        <v>545</v>
      </c>
      <c r="C110" s="597">
        <v>45</v>
      </c>
      <c r="D110" s="597">
        <v>96</v>
      </c>
      <c r="E110" s="597">
        <v>90</v>
      </c>
      <c r="F110" s="597">
        <v>51</v>
      </c>
      <c r="G110" s="598">
        <v>281</v>
      </c>
      <c r="H110" s="597">
        <v>102</v>
      </c>
      <c r="I110" s="597">
        <v>47</v>
      </c>
      <c r="J110" s="598">
        <v>79</v>
      </c>
    </row>
    <row r="111" spans="1:23">
      <c r="B111" s="399" t="s">
        <v>140</v>
      </c>
      <c r="C111" s="458">
        <v>2</v>
      </c>
      <c r="D111" s="458">
        <v>6</v>
      </c>
      <c r="E111" s="458">
        <v>21</v>
      </c>
      <c r="F111" s="458">
        <v>21</v>
      </c>
      <c r="G111" s="449">
        <v>49</v>
      </c>
      <c r="H111" s="458">
        <v>7</v>
      </c>
      <c r="I111" s="458">
        <v>14</v>
      </c>
      <c r="J111" s="449">
        <v>31</v>
      </c>
    </row>
    <row r="112" spans="1:23">
      <c r="B112" s="399"/>
      <c r="C112" s="400"/>
      <c r="D112" s="400"/>
      <c r="E112" s="400"/>
      <c r="F112" s="400"/>
      <c r="G112" s="507"/>
      <c r="H112" s="400"/>
      <c r="I112" s="400"/>
      <c r="J112" s="507"/>
    </row>
    <row r="113" spans="1:10" s="480" customFormat="1">
      <c r="A113"/>
      <c r="B113" s="486" t="s">
        <v>489</v>
      </c>
      <c r="C113" s="664"/>
      <c r="D113" s="664"/>
      <c r="E113" s="664"/>
      <c r="F113" s="664"/>
      <c r="G113" s="665"/>
      <c r="H113" s="664"/>
      <c r="I113" s="664"/>
      <c r="J113" s="665"/>
    </row>
    <row r="114" spans="1:10">
      <c r="B114" s="399" t="s">
        <v>408</v>
      </c>
      <c r="C114" s="463">
        <v>32.49</v>
      </c>
      <c r="D114" s="463">
        <v>24.42</v>
      </c>
      <c r="E114" s="463">
        <v>22.19</v>
      </c>
      <c r="F114" s="463">
        <v>29.78</v>
      </c>
      <c r="G114" s="508">
        <v>108.89</v>
      </c>
      <c r="H114" s="463">
        <v>32.299999999999997</v>
      </c>
      <c r="I114" s="463">
        <v>25.97</v>
      </c>
      <c r="J114" s="508">
        <v>24</v>
      </c>
    </row>
    <row r="115" spans="1:10" ht="29.25">
      <c r="B115" s="469" t="s">
        <v>210</v>
      </c>
      <c r="C115" s="501">
        <v>17.25</v>
      </c>
      <c r="D115" s="501">
        <v>12.53</v>
      </c>
      <c r="E115" s="501">
        <v>11.39</v>
      </c>
      <c r="F115" s="501">
        <v>14.92</v>
      </c>
      <c r="G115" s="510">
        <v>56.09</v>
      </c>
      <c r="H115" s="501">
        <v>15.36</v>
      </c>
      <c r="I115" s="501">
        <v>12.17</v>
      </c>
      <c r="J115" s="510">
        <v>12.44</v>
      </c>
    </row>
    <row r="116" spans="1:10">
      <c r="B116" s="500" t="s">
        <v>215</v>
      </c>
      <c r="C116" s="470">
        <v>12.88</v>
      </c>
      <c r="D116" s="470">
        <v>9.67</v>
      </c>
      <c r="E116" s="470">
        <v>8.89</v>
      </c>
      <c r="F116" s="470">
        <v>12.41</v>
      </c>
      <c r="G116" s="509">
        <v>43.86</v>
      </c>
      <c r="H116" s="470">
        <v>13.75</v>
      </c>
      <c r="I116" s="470">
        <v>11.33</v>
      </c>
      <c r="J116" s="509">
        <v>9.06</v>
      </c>
    </row>
    <row r="117" spans="1:10">
      <c r="B117" s="500" t="s">
        <v>209</v>
      </c>
      <c r="C117" s="470">
        <v>2.37</v>
      </c>
      <c r="D117" s="470">
        <v>2.2200000000000002</v>
      </c>
      <c r="E117" s="470">
        <v>1.91</v>
      </c>
      <c r="F117" s="470">
        <v>2.4500000000000002</v>
      </c>
      <c r="G117" s="509">
        <v>8.9499999999999993</v>
      </c>
      <c r="H117" s="470">
        <v>3.19</v>
      </c>
      <c r="I117" s="470">
        <v>2.46</v>
      </c>
      <c r="J117" s="509">
        <v>2.5099999999999998</v>
      </c>
    </row>
    <row r="118" spans="1:10">
      <c r="B118" s="403" t="s">
        <v>409</v>
      </c>
      <c r="C118" s="463">
        <v>122.45</v>
      </c>
      <c r="D118" s="463">
        <v>136.97999999999999</v>
      </c>
      <c r="E118" s="463">
        <v>204.65</v>
      </c>
      <c r="F118" s="463">
        <v>222.6</v>
      </c>
      <c r="G118" s="508">
        <v>686.68</v>
      </c>
      <c r="H118" s="463">
        <v>213.67</v>
      </c>
      <c r="I118" s="463">
        <v>119.13</v>
      </c>
      <c r="J118" s="508">
        <v>147.5</v>
      </c>
    </row>
    <row r="119" spans="1:10">
      <c r="B119" s="399" t="s">
        <v>149</v>
      </c>
      <c r="C119" s="458">
        <v>366</v>
      </c>
      <c r="D119" s="458">
        <v>358</v>
      </c>
      <c r="E119" s="458">
        <v>366</v>
      </c>
      <c r="F119" s="458">
        <v>358</v>
      </c>
      <c r="G119" s="449">
        <v>1448</v>
      </c>
      <c r="H119" s="458">
        <v>367</v>
      </c>
      <c r="I119" s="458">
        <v>372</v>
      </c>
      <c r="J119" s="449">
        <v>388</v>
      </c>
    </row>
    <row r="120" spans="1:10">
      <c r="B120" s="400" t="s">
        <v>410</v>
      </c>
      <c r="C120" s="463">
        <v>21.19</v>
      </c>
      <c r="D120" s="463">
        <v>21.28</v>
      </c>
      <c r="E120" s="463">
        <v>22.57</v>
      </c>
      <c r="F120" s="463">
        <v>22.57</v>
      </c>
      <c r="G120" s="508">
        <v>22.14</v>
      </c>
      <c r="H120" s="463">
        <v>22.57</v>
      </c>
      <c r="I120" s="463">
        <v>12.96</v>
      </c>
      <c r="J120" s="508">
        <v>16.36</v>
      </c>
    </row>
    <row r="121" spans="1:10">
      <c r="B121" s="399" t="s">
        <v>148</v>
      </c>
      <c r="C121" s="463">
        <v>0.78</v>
      </c>
      <c r="D121" s="463">
        <v>0.72</v>
      </c>
      <c r="E121" s="463">
        <v>1.91</v>
      </c>
      <c r="F121" s="463">
        <v>1.78</v>
      </c>
      <c r="G121" s="508">
        <v>5.18</v>
      </c>
      <c r="H121" s="463">
        <v>1.74</v>
      </c>
      <c r="I121" s="463">
        <v>1.04</v>
      </c>
      <c r="J121" s="508">
        <v>2.4</v>
      </c>
    </row>
    <row r="122" spans="1:10">
      <c r="B122" s="399"/>
      <c r="C122" s="400"/>
      <c r="D122" s="400"/>
      <c r="E122" s="400"/>
      <c r="F122" s="400"/>
      <c r="G122" s="400"/>
      <c r="H122" s="400"/>
      <c r="I122" s="400"/>
      <c r="J122" s="400"/>
    </row>
    <row r="123" spans="1:10" ht="15.75" thickBot="1">
      <c r="B123" s="419" t="s">
        <v>548</v>
      </c>
      <c r="C123" s="464"/>
      <c r="D123" s="464"/>
      <c r="E123" s="464"/>
      <c r="F123" s="464"/>
      <c r="G123" s="464"/>
      <c r="H123" s="464"/>
      <c r="I123" s="464"/>
      <c r="J123" s="464"/>
    </row>
    <row r="124" spans="1:10" s="404" customFormat="1">
      <c r="A124"/>
      <c r="B124" s="454" t="s">
        <v>450</v>
      </c>
      <c r="C124" s="465"/>
      <c r="D124" s="465"/>
      <c r="E124" s="465"/>
      <c r="F124" s="465"/>
      <c r="G124" s="465"/>
      <c r="H124" s="465"/>
      <c r="I124" s="465"/>
      <c r="J124" s="465"/>
    </row>
    <row r="125" spans="1:10" s="405" customFormat="1" ht="15.75" thickBot="1">
      <c r="A125"/>
      <c r="B125" s="456"/>
      <c r="C125" s="466" t="s">
        <v>454</v>
      </c>
      <c r="D125" s="466" t="s">
        <v>455</v>
      </c>
      <c r="E125" s="466" t="s">
        <v>456</v>
      </c>
      <c r="F125" s="466" t="s">
        <v>457</v>
      </c>
      <c r="G125" s="511">
        <v>2016</v>
      </c>
      <c r="H125" s="466" t="s">
        <v>458</v>
      </c>
      <c r="I125" s="466" t="s">
        <v>459</v>
      </c>
      <c r="J125" s="511" t="s">
        <v>540</v>
      </c>
    </row>
    <row r="126" spans="1:10">
      <c r="B126" s="399" t="s">
        <v>424</v>
      </c>
      <c r="C126" s="467">
        <v>11</v>
      </c>
      <c r="D126" s="467">
        <v>-6</v>
      </c>
      <c r="E126" s="467">
        <v>-2</v>
      </c>
      <c r="F126" s="467">
        <v>-1</v>
      </c>
      <c r="G126" s="512">
        <v>2</v>
      </c>
      <c r="H126" s="467">
        <v>5</v>
      </c>
      <c r="I126" s="467">
        <v>-3</v>
      </c>
      <c r="J126" s="512">
        <v>11</v>
      </c>
    </row>
    <row r="127" spans="1:10">
      <c r="B127" s="399" t="s">
        <v>11</v>
      </c>
      <c r="C127" s="467">
        <v>0</v>
      </c>
      <c r="D127" s="467">
        <v>0</v>
      </c>
      <c r="E127" s="467">
        <v>0</v>
      </c>
      <c r="F127" s="467">
        <v>-2</v>
      </c>
      <c r="G127" s="512">
        <v>-2</v>
      </c>
      <c r="H127" s="467">
        <v>-3</v>
      </c>
      <c r="I127" s="467">
        <v>-11</v>
      </c>
      <c r="J127" s="512">
        <v>-14</v>
      </c>
    </row>
    <row r="128" spans="1:10">
      <c r="B128" s="399" t="s">
        <v>427</v>
      </c>
      <c r="C128" s="467">
        <v>11</v>
      </c>
      <c r="D128" s="467">
        <v>-7</v>
      </c>
      <c r="E128" s="467">
        <v>-2</v>
      </c>
      <c r="F128" s="467">
        <v>1</v>
      </c>
      <c r="G128" s="512">
        <v>3</v>
      </c>
      <c r="H128" s="467">
        <v>7</v>
      </c>
      <c r="I128" s="467">
        <v>8</v>
      </c>
      <c r="J128" s="512">
        <v>25</v>
      </c>
    </row>
    <row r="129" spans="1:10">
      <c r="B129" s="439"/>
      <c r="C129" s="400"/>
      <c r="D129" s="400"/>
      <c r="E129" s="400"/>
      <c r="F129" s="400"/>
      <c r="G129" s="507"/>
      <c r="H129" s="400"/>
      <c r="I129" s="400"/>
      <c r="J129" s="507"/>
    </row>
    <row r="130" spans="1:10" s="480" customFormat="1">
      <c r="A130"/>
      <c r="B130" s="486" t="s">
        <v>489</v>
      </c>
      <c r="C130" s="662"/>
      <c r="D130" s="662"/>
      <c r="E130" s="662"/>
      <c r="F130" s="662"/>
      <c r="G130" s="663"/>
      <c r="H130" s="662"/>
      <c r="I130" s="662"/>
      <c r="J130" s="663"/>
    </row>
    <row r="131" spans="1:10">
      <c r="B131" s="406" t="s">
        <v>408</v>
      </c>
      <c r="C131" s="468">
        <v>12.88</v>
      </c>
      <c r="D131" s="468">
        <v>9.67</v>
      </c>
      <c r="E131" s="468">
        <v>8.89</v>
      </c>
      <c r="F131" s="468">
        <v>12.41</v>
      </c>
      <c r="G131" s="513">
        <v>43.86</v>
      </c>
      <c r="H131" s="468">
        <v>13.75</v>
      </c>
      <c r="I131" s="468">
        <v>11.33</v>
      </c>
      <c r="J131" s="513">
        <v>9.06</v>
      </c>
    </row>
    <row r="132" spans="1:10">
      <c r="B132" s="407" t="s">
        <v>148</v>
      </c>
      <c r="C132" s="468">
        <v>0.42</v>
      </c>
      <c r="D132" s="468">
        <v>0.48</v>
      </c>
      <c r="E132" s="468">
        <v>1.2</v>
      </c>
      <c r="F132" s="468">
        <v>0.82</v>
      </c>
      <c r="G132" s="513">
        <v>2.93</v>
      </c>
      <c r="H132" s="468">
        <v>0.75</v>
      </c>
      <c r="I132" s="468">
        <v>0.16</v>
      </c>
      <c r="J132" s="513">
        <v>0.75</v>
      </c>
    </row>
  </sheetData>
  <mergeCells count="11">
    <mergeCell ref="B63:H63"/>
    <mergeCell ref="B64:H64"/>
    <mergeCell ref="B79:H79"/>
    <mergeCell ref="B98:H98"/>
    <mergeCell ref="B99:H99"/>
    <mergeCell ref="B15:H15"/>
    <mergeCell ref="B17:H17"/>
    <mergeCell ref="B43:H43"/>
    <mergeCell ref="B44:H44"/>
    <mergeCell ref="B45:H45"/>
    <mergeCell ref="B16:H16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0" fitToHeight="0" orientation="portrait" r:id="rId1"/>
  <headerFooter alignWithMargins="0">
    <oddHeader>&amp;CNovember 9, 2017</oddHeader>
  </headerFooter>
  <rowBreaks count="2" manualBreakCount="2">
    <brk id="45" min="1" max="9" man="1"/>
    <brk id="99" min="1" max="9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45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1.7109375" style="370" customWidth="1"/>
    <col min="3" max="10" width="10.7109375" style="370" customWidth="1"/>
    <col min="11" max="20" width="11.42578125" style="370"/>
    <col min="21" max="16384" width="11.42578125" style="354"/>
  </cols>
  <sheetData>
    <row r="1" spans="1:24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  <c r="R1" s="524"/>
      <c r="S1" s="524"/>
      <c r="T1" s="524"/>
      <c r="U1" s="524"/>
      <c r="V1" s="524"/>
      <c r="W1" s="524"/>
      <c r="X1" s="524"/>
    </row>
    <row r="2" spans="1:24" s="370" customFormat="1" ht="15.75">
      <c r="A2"/>
      <c r="B2" s="588"/>
      <c r="C2" s="452"/>
      <c r="D2" s="452"/>
      <c r="E2" s="452"/>
      <c r="F2" s="452"/>
      <c r="G2" s="452"/>
      <c r="H2" s="452"/>
      <c r="I2" s="452"/>
      <c r="J2" s="452"/>
    </row>
    <row r="3" spans="1:24" s="370" customFormat="1" ht="15.75">
      <c r="A3"/>
      <c r="B3" s="411"/>
      <c r="C3" s="452"/>
      <c r="D3" s="452"/>
      <c r="E3" s="452"/>
      <c r="F3" s="452"/>
      <c r="G3" s="452"/>
      <c r="H3" s="452"/>
      <c r="I3" s="452"/>
      <c r="J3" s="452"/>
    </row>
    <row r="4" spans="1:24" ht="15.75" thickBot="1">
      <c r="B4" s="419" t="s">
        <v>173</v>
      </c>
      <c r="C4" s="419"/>
      <c r="D4" s="419"/>
      <c r="E4" s="419"/>
      <c r="F4" s="419"/>
      <c r="G4" s="419"/>
      <c r="H4" s="419"/>
      <c r="I4" s="419"/>
      <c r="J4" s="419"/>
    </row>
    <row r="5" spans="1:24">
      <c r="B5" s="421" t="s">
        <v>450</v>
      </c>
      <c r="C5" s="421"/>
      <c r="D5" s="421"/>
      <c r="E5" s="421"/>
      <c r="F5" s="421"/>
      <c r="G5" s="421"/>
      <c r="H5" s="421"/>
      <c r="I5" s="421"/>
      <c r="J5" s="421"/>
    </row>
    <row r="6" spans="1:24" ht="15.75" thickBot="1">
      <c r="B6" s="522"/>
      <c r="C6" s="428" t="s">
        <v>454</v>
      </c>
      <c r="D6" s="428" t="s">
        <v>455</v>
      </c>
      <c r="E6" s="428" t="s">
        <v>456</v>
      </c>
      <c r="F6" s="428" t="s">
        <v>457</v>
      </c>
      <c r="G6" s="523">
        <v>2016</v>
      </c>
      <c r="H6" s="423" t="s">
        <v>458</v>
      </c>
      <c r="I6" s="423" t="s">
        <v>459</v>
      </c>
      <c r="J6" s="523" t="s">
        <v>540</v>
      </c>
    </row>
    <row r="7" spans="1:24">
      <c r="B7" s="546" t="s">
        <v>24</v>
      </c>
      <c r="C7" s="458">
        <v>3991</v>
      </c>
      <c r="D7" s="458">
        <v>4614</v>
      </c>
      <c r="E7" s="458">
        <v>5249</v>
      </c>
      <c r="F7" s="458">
        <v>5407</v>
      </c>
      <c r="G7" s="443">
        <v>19260</v>
      </c>
      <c r="H7" s="424">
        <v>5518</v>
      </c>
      <c r="I7" s="424">
        <v>5152</v>
      </c>
      <c r="J7" s="443">
        <v>4646</v>
      </c>
    </row>
    <row r="8" spans="1:24">
      <c r="B8" s="546" t="s">
        <v>25</v>
      </c>
      <c r="C8" s="458">
        <v>109</v>
      </c>
      <c r="D8" s="458">
        <v>87</v>
      </c>
      <c r="E8" s="458">
        <v>208</v>
      </c>
      <c r="F8" s="458">
        <v>243</v>
      </c>
      <c r="G8" s="443">
        <v>646</v>
      </c>
      <c r="H8" s="424">
        <v>216</v>
      </c>
      <c r="I8" s="424">
        <v>72</v>
      </c>
      <c r="J8" s="443">
        <v>72</v>
      </c>
    </row>
    <row r="9" spans="1:24">
      <c r="B9" s="546" t="s">
        <v>437</v>
      </c>
      <c r="C9" s="458">
        <v>95</v>
      </c>
      <c r="D9" s="458">
        <v>117</v>
      </c>
      <c r="E9" s="458">
        <v>114</v>
      </c>
      <c r="F9" s="458">
        <v>98</v>
      </c>
      <c r="G9" s="443">
        <v>425</v>
      </c>
      <c r="H9" s="424">
        <v>121</v>
      </c>
      <c r="I9" s="424">
        <v>101</v>
      </c>
      <c r="J9" s="443">
        <v>195</v>
      </c>
    </row>
    <row r="10" spans="1:24">
      <c r="B10" s="469" t="s">
        <v>36</v>
      </c>
      <c r="C10" s="474">
        <v>92</v>
      </c>
      <c r="D10" s="474">
        <v>111</v>
      </c>
      <c r="E10" s="474">
        <v>110</v>
      </c>
      <c r="F10" s="474">
        <v>86</v>
      </c>
      <c r="G10" s="483">
        <v>399</v>
      </c>
      <c r="H10" s="474">
        <v>113</v>
      </c>
      <c r="I10" s="474">
        <v>94</v>
      </c>
      <c r="J10" s="483">
        <v>98</v>
      </c>
    </row>
    <row r="11" spans="1:24">
      <c r="B11" s="547" t="s">
        <v>438</v>
      </c>
      <c r="C11" s="584">
        <v>4195</v>
      </c>
      <c r="D11" s="584">
        <v>4818</v>
      </c>
      <c r="E11" s="584">
        <v>5571</v>
      </c>
      <c r="F11" s="584">
        <v>5747</v>
      </c>
      <c r="G11" s="444">
        <v>20331</v>
      </c>
      <c r="H11" s="473">
        <v>5855</v>
      </c>
      <c r="I11" s="473">
        <v>5324</v>
      </c>
      <c r="J11" s="444">
        <v>4913</v>
      </c>
    </row>
    <row r="12" spans="1:24">
      <c r="B12" s="546" t="s">
        <v>439</v>
      </c>
      <c r="C12" s="458">
        <v>-2512</v>
      </c>
      <c r="D12" s="458">
        <v>-2842</v>
      </c>
      <c r="E12" s="458">
        <v>-3399</v>
      </c>
      <c r="F12" s="458">
        <v>-3544</v>
      </c>
      <c r="G12" s="443">
        <v>-12297</v>
      </c>
      <c r="H12" s="424">
        <v>-3376</v>
      </c>
      <c r="I12" s="424">
        <v>-3276</v>
      </c>
      <c r="J12" s="443">
        <v>-2735</v>
      </c>
    </row>
    <row r="13" spans="1:24">
      <c r="B13" s="546" t="s">
        <v>440</v>
      </c>
      <c r="C13" s="458">
        <v>-409</v>
      </c>
      <c r="D13" s="458">
        <v>-423</v>
      </c>
      <c r="E13" s="458">
        <v>-401</v>
      </c>
      <c r="F13" s="458">
        <v>-453</v>
      </c>
      <c r="G13" s="443">
        <v>-1686</v>
      </c>
      <c r="H13" s="424">
        <v>-402</v>
      </c>
      <c r="I13" s="424">
        <v>-422</v>
      </c>
      <c r="J13" s="443">
        <v>-401</v>
      </c>
    </row>
    <row r="14" spans="1:24">
      <c r="B14" s="546" t="s">
        <v>441</v>
      </c>
      <c r="C14" s="458">
        <v>-71</v>
      </c>
      <c r="D14" s="458">
        <v>-71</v>
      </c>
      <c r="E14" s="458">
        <v>-75</v>
      </c>
      <c r="F14" s="458">
        <v>-72</v>
      </c>
      <c r="G14" s="443">
        <v>-290</v>
      </c>
      <c r="H14" s="424">
        <v>-85</v>
      </c>
      <c r="I14" s="424">
        <v>-79</v>
      </c>
      <c r="J14" s="443">
        <v>-70</v>
      </c>
    </row>
    <row r="15" spans="1:24">
      <c r="B15" s="546" t="s">
        <v>442</v>
      </c>
      <c r="C15" s="458">
        <v>-527</v>
      </c>
      <c r="D15" s="458">
        <v>-542</v>
      </c>
      <c r="E15" s="458">
        <v>-995</v>
      </c>
      <c r="F15" s="458">
        <v>-1171</v>
      </c>
      <c r="G15" s="443">
        <v>-3235</v>
      </c>
      <c r="H15" s="424">
        <v>-454</v>
      </c>
      <c r="I15" s="424">
        <v>-462</v>
      </c>
      <c r="J15" s="443">
        <v>-480</v>
      </c>
    </row>
    <row r="16" spans="1:24">
      <c r="B16" s="546" t="s">
        <v>443</v>
      </c>
      <c r="C16" s="458">
        <v>-427</v>
      </c>
      <c r="D16" s="458">
        <v>-408</v>
      </c>
      <c r="E16" s="458">
        <v>-413</v>
      </c>
      <c r="F16" s="458">
        <v>-473</v>
      </c>
      <c r="G16" s="443">
        <v>-1721</v>
      </c>
      <c r="H16" s="424">
        <v>-405</v>
      </c>
      <c r="I16" s="424">
        <v>-385</v>
      </c>
      <c r="J16" s="443">
        <v>-357</v>
      </c>
    </row>
    <row r="17" spans="1:20">
      <c r="B17" s="546" t="s">
        <v>26</v>
      </c>
      <c r="C17" s="458">
        <v>-32</v>
      </c>
      <c r="D17" s="458">
        <v>-649</v>
      </c>
      <c r="E17" s="458">
        <v>-56</v>
      </c>
      <c r="F17" s="458">
        <v>-54</v>
      </c>
      <c r="G17" s="443">
        <v>-790</v>
      </c>
      <c r="H17" s="424">
        <v>-32</v>
      </c>
      <c r="I17" s="424">
        <v>-58</v>
      </c>
      <c r="J17" s="443">
        <v>-35</v>
      </c>
    </row>
    <row r="18" spans="1:20">
      <c r="B18" s="546" t="s">
        <v>27</v>
      </c>
      <c r="C18" s="458">
        <v>-74</v>
      </c>
      <c r="D18" s="458">
        <v>-66</v>
      </c>
      <c r="E18" s="458">
        <v>-54</v>
      </c>
      <c r="F18" s="458">
        <v>-150</v>
      </c>
      <c r="G18" s="443">
        <v>-344</v>
      </c>
      <c r="H18" s="424">
        <v>-64</v>
      </c>
      <c r="I18" s="424">
        <v>-1338</v>
      </c>
      <c r="J18" s="443">
        <v>-77</v>
      </c>
    </row>
    <row r="19" spans="1:20">
      <c r="B19" s="547" t="s">
        <v>424</v>
      </c>
      <c r="C19" s="584">
        <v>143</v>
      </c>
      <c r="D19" s="584">
        <v>-183</v>
      </c>
      <c r="E19" s="584">
        <v>177</v>
      </c>
      <c r="F19" s="584">
        <v>-169</v>
      </c>
      <c r="G19" s="444">
        <v>-32</v>
      </c>
      <c r="H19" s="473">
        <v>1037</v>
      </c>
      <c r="I19" s="473">
        <v>-694</v>
      </c>
      <c r="J19" s="444">
        <v>758</v>
      </c>
    </row>
    <row r="20" spans="1:20">
      <c r="B20" s="546" t="s">
        <v>28</v>
      </c>
      <c r="C20" s="458">
        <v>8</v>
      </c>
      <c r="D20" s="458">
        <v>15</v>
      </c>
      <c r="E20" s="458">
        <v>15</v>
      </c>
      <c r="F20" s="458">
        <v>2</v>
      </c>
      <c r="G20" s="443">
        <v>41</v>
      </c>
      <c r="H20" s="424">
        <v>0</v>
      </c>
      <c r="I20" s="424">
        <v>5</v>
      </c>
      <c r="J20" s="443">
        <v>0</v>
      </c>
    </row>
    <row r="21" spans="1:20">
      <c r="B21" s="546" t="s">
        <v>156</v>
      </c>
      <c r="C21" s="458">
        <v>22</v>
      </c>
      <c r="D21" s="458">
        <v>9</v>
      </c>
      <c r="E21" s="458">
        <v>28</v>
      </c>
      <c r="F21" s="458">
        <v>7</v>
      </c>
      <c r="G21" s="443">
        <v>66</v>
      </c>
      <c r="H21" s="424">
        <v>13</v>
      </c>
      <c r="I21" s="424">
        <v>13</v>
      </c>
      <c r="J21" s="443">
        <v>22</v>
      </c>
    </row>
    <row r="22" spans="1:20">
      <c r="B22" s="546" t="s">
        <v>155</v>
      </c>
      <c r="C22" s="458">
        <v>-66</v>
      </c>
      <c r="D22" s="458">
        <v>-65</v>
      </c>
      <c r="E22" s="458">
        <v>-67</v>
      </c>
      <c r="F22" s="458">
        <v>-63</v>
      </c>
      <c r="G22" s="443">
        <v>-261</v>
      </c>
      <c r="H22" s="424">
        <v>-61</v>
      </c>
      <c r="I22" s="424">
        <v>-62</v>
      </c>
      <c r="J22" s="443">
        <v>-72</v>
      </c>
    </row>
    <row r="23" spans="1:20">
      <c r="B23" s="546" t="s">
        <v>29</v>
      </c>
      <c r="C23" s="458">
        <v>-19</v>
      </c>
      <c r="D23" s="458">
        <v>-4</v>
      </c>
      <c r="E23" s="458">
        <v>-16</v>
      </c>
      <c r="F23" s="458">
        <v>-5</v>
      </c>
      <c r="G23" s="443">
        <v>-44</v>
      </c>
      <c r="H23" s="424">
        <v>-1</v>
      </c>
      <c r="I23" s="424">
        <v>-17</v>
      </c>
      <c r="J23" s="443">
        <v>-17</v>
      </c>
    </row>
    <row r="24" spans="1:20">
      <c r="B24" s="547" t="s">
        <v>30</v>
      </c>
      <c r="C24" s="584">
        <v>-55</v>
      </c>
      <c r="D24" s="584">
        <v>-45</v>
      </c>
      <c r="E24" s="584">
        <v>-39</v>
      </c>
      <c r="F24" s="584">
        <v>-59</v>
      </c>
      <c r="G24" s="444">
        <v>-198</v>
      </c>
      <c r="H24" s="473">
        <v>-49</v>
      </c>
      <c r="I24" s="473">
        <v>-62</v>
      </c>
      <c r="J24" s="444">
        <v>-66</v>
      </c>
    </row>
    <row r="25" spans="1:20">
      <c r="B25" s="547" t="s">
        <v>411</v>
      </c>
      <c r="C25" s="584">
        <v>88</v>
      </c>
      <c r="D25" s="584">
        <v>-228</v>
      </c>
      <c r="E25" s="584">
        <v>138</v>
      </c>
      <c r="F25" s="584">
        <v>-228</v>
      </c>
      <c r="G25" s="444">
        <v>-230</v>
      </c>
      <c r="H25" s="473">
        <v>988</v>
      </c>
      <c r="I25" s="473">
        <v>-756</v>
      </c>
      <c r="J25" s="444">
        <v>692</v>
      </c>
    </row>
    <row r="26" spans="1:20">
      <c r="B26" s="546" t="s">
        <v>387</v>
      </c>
      <c r="C26" s="424">
        <v>47</v>
      </c>
      <c r="D26" s="424">
        <v>111</v>
      </c>
      <c r="E26" s="424">
        <v>-8</v>
      </c>
      <c r="F26" s="424">
        <v>-103</v>
      </c>
      <c r="G26" s="443">
        <v>47</v>
      </c>
      <c r="H26" s="424">
        <v>-172</v>
      </c>
      <c r="I26" s="424">
        <v>-172</v>
      </c>
      <c r="J26" s="443">
        <v>-148</v>
      </c>
    </row>
    <row r="27" spans="1:20" ht="15.75" thickBot="1">
      <c r="B27" s="422" t="s">
        <v>32</v>
      </c>
      <c r="C27" s="461">
        <v>136</v>
      </c>
      <c r="D27" s="461">
        <v>-117</v>
      </c>
      <c r="E27" s="461">
        <v>129</v>
      </c>
      <c r="F27" s="461">
        <v>-331</v>
      </c>
      <c r="G27" s="527">
        <v>-183</v>
      </c>
      <c r="H27" s="426">
        <v>816</v>
      </c>
      <c r="I27" s="426">
        <v>-928</v>
      </c>
      <c r="J27" s="527">
        <v>544</v>
      </c>
    </row>
    <row r="28" spans="1:20">
      <c r="C28" s="458"/>
      <c r="D28" s="458"/>
      <c r="E28" s="458"/>
      <c r="F28" s="458"/>
      <c r="G28" s="443"/>
      <c r="H28" s="424"/>
      <c r="I28" s="424"/>
      <c r="J28" s="443"/>
    </row>
    <row r="29" spans="1:20" s="667" customFormat="1" ht="29.25">
      <c r="A29"/>
      <c r="B29" s="549" t="s">
        <v>33</v>
      </c>
      <c r="C29" s="551">
        <v>95</v>
      </c>
      <c r="D29" s="551">
        <v>-168</v>
      </c>
      <c r="E29" s="551">
        <v>48</v>
      </c>
      <c r="F29" s="551">
        <v>-378</v>
      </c>
      <c r="G29" s="550">
        <v>-403</v>
      </c>
      <c r="H29" s="551">
        <v>712</v>
      </c>
      <c r="I29" s="551">
        <v>-1028</v>
      </c>
      <c r="J29" s="550">
        <v>439</v>
      </c>
      <c r="K29" s="666"/>
      <c r="L29" s="666"/>
      <c r="M29" s="666"/>
      <c r="N29" s="666"/>
      <c r="O29" s="666"/>
      <c r="P29" s="666"/>
      <c r="Q29" s="666"/>
      <c r="R29" s="666"/>
      <c r="S29" s="666"/>
      <c r="T29" s="666"/>
    </row>
    <row r="30" spans="1:20">
      <c r="B30" s="469" t="s">
        <v>34</v>
      </c>
      <c r="C30" s="474">
        <v>26</v>
      </c>
      <c r="D30" s="474">
        <v>26</v>
      </c>
      <c r="E30" s="474">
        <v>26</v>
      </c>
      <c r="F30" s="474">
        <v>26</v>
      </c>
      <c r="G30" s="483">
        <v>103</v>
      </c>
      <c r="H30" s="474">
        <v>25</v>
      </c>
      <c r="I30" s="474">
        <v>26</v>
      </c>
      <c r="J30" s="483">
        <v>26</v>
      </c>
    </row>
    <row r="31" spans="1:20">
      <c r="B31" s="469" t="s">
        <v>35</v>
      </c>
      <c r="C31" s="474">
        <v>16</v>
      </c>
      <c r="D31" s="474">
        <v>25</v>
      </c>
      <c r="E31" s="474">
        <v>56</v>
      </c>
      <c r="F31" s="474">
        <v>21</v>
      </c>
      <c r="G31" s="483">
        <v>118</v>
      </c>
      <c r="H31" s="474">
        <v>78</v>
      </c>
      <c r="I31" s="474">
        <v>75</v>
      </c>
      <c r="J31" s="483">
        <v>78</v>
      </c>
    </row>
    <row r="32" spans="1:20">
      <c r="B32" s="552" t="s">
        <v>260</v>
      </c>
      <c r="C32" s="555">
        <v>0.28999999999999998</v>
      </c>
      <c r="D32" s="555">
        <v>-0.51</v>
      </c>
      <c r="E32" s="555">
        <v>0.15</v>
      </c>
      <c r="F32" s="555">
        <v>-1.1599999999999999</v>
      </c>
      <c r="G32" s="554">
        <v>-1.24</v>
      </c>
      <c r="H32" s="555">
        <v>2.1800000000000002</v>
      </c>
      <c r="I32" s="555">
        <v>-3.15</v>
      </c>
      <c r="J32" s="554">
        <v>1.35</v>
      </c>
    </row>
    <row r="33" spans="1:20">
      <c r="B33" s="400" t="s">
        <v>261</v>
      </c>
      <c r="C33" s="475">
        <v>0.28999999999999998</v>
      </c>
      <c r="D33" s="475">
        <v>-0.51</v>
      </c>
      <c r="E33" s="475">
        <v>0.15</v>
      </c>
      <c r="F33" s="475">
        <v>-1.1499999999999999</v>
      </c>
      <c r="G33" s="445">
        <v>-1.23</v>
      </c>
      <c r="H33" s="475">
        <v>2.1800000000000002</v>
      </c>
      <c r="I33" s="475">
        <v>-3.14</v>
      </c>
      <c r="J33" s="445">
        <v>1.35</v>
      </c>
    </row>
    <row r="34" spans="1:20">
      <c r="B34" s="556" t="s">
        <v>533</v>
      </c>
      <c r="C34" s="582"/>
      <c r="D34" s="582"/>
      <c r="E34" s="582"/>
      <c r="F34" s="582"/>
      <c r="G34" s="583">
        <v>1.2</v>
      </c>
      <c r="H34" s="582"/>
      <c r="I34" s="582"/>
      <c r="J34" s="583"/>
    </row>
    <row r="35" spans="1:20" s="441" customFormat="1" collapsed="1">
      <c r="A35"/>
      <c r="B35" s="370"/>
      <c r="C35" s="370"/>
      <c r="D35" s="370"/>
      <c r="E35" s="370"/>
      <c r="F35" s="370"/>
      <c r="G35" s="370"/>
      <c r="H35" s="370"/>
      <c r="I35" s="370"/>
      <c r="J35" s="370"/>
      <c r="K35" s="370"/>
      <c r="L35" s="370"/>
      <c r="M35" s="370"/>
      <c r="N35" s="370"/>
      <c r="O35" s="370"/>
      <c r="P35" s="370"/>
      <c r="Q35" s="370"/>
      <c r="R35" s="370"/>
      <c r="S35" s="370"/>
      <c r="T35" s="370"/>
    </row>
    <row r="36" spans="1:20">
      <c r="B36" s="635"/>
      <c r="C36" s="635"/>
      <c r="D36" s="635"/>
      <c r="E36" s="635"/>
      <c r="F36" s="635"/>
      <c r="G36" s="635"/>
      <c r="H36" s="635"/>
      <c r="I36" s="635"/>
    </row>
    <row r="37" spans="1:20">
      <c r="B37" s="548"/>
      <c r="C37" s="548"/>
      <c r="D37" s="548"/>
      <c r="E37" s="548"/>
      <c r="F37" s="548"/>
      <c r="G37" s="548"/>
      <c r="H37" s="548"/>
      <c r="I37" s="548"/>
      <c r="J37" s="548"/>
    </row>
    <row r="40" spans="1:20">
      <c r="G40" s="557"/>
      <c r="H40" s="557"/>
      <c r="I40" s="557"/>
      <c r="J40" s="557"/>
    </row>
    <row r="41" spans="1:20">
      <c r="G41" s="557"/>
      <c r="H41" s="557"/>
      <c r="I41" s="557"/>
      <c r="J41" s="557"/>
    </row>
    <row r="42" spans="1:20">
      <c r="G42" s="557"/>
      <c r="H42" s="557"/>
      <c r="I42" s="557"/>
      <c r="J42" s="557"/>
    </row>
    <row r="43" spans="1:20">
      <c r="G43" s="557"/>
      <c r="H43" s="557"/>
      <c r="I43" s="557"/>
      <c r="J43" s="557"/>
    </row>
    <row r="45" spans="1:20">
      <c r="G45" s="558"/>
      <c r="H45" s="558"/>
      <c r="I45" s="558"/>
      <c r="J45" s="558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72" fitToHeight="0" orientation="portrait" r:id="rId1"/>
  <headerFooter alignWithMargins="0">
    <oddHeader>&amp;CNovember 9, 2017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"/>
  <sheetViews>
    <sheetView view="pageBreakPreview" zoomScaleNormal="85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8.140625" style="370" customWidth="1"/>
    <col min="3" max="10" width="10.7109375" style="370" customWidth="1"/>
    <col min="11" max="24" width="11.42578125" style="370"/>
    <col min="25" max="16384" width="11.42578125" style="354"/>
  </cols>
  <sheetData>
    <row r="1" spans="1:24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  <c r="R1" s="524"/>
      <c r="S1" s="524"/>
      <c r="T1" s="524"/>
      <c r="U1" s="524"/>
      <c r="V1" s="524"/>
      <c r="W1" s="524"/>
      <c r="X1" s="524"/>
    </row>
    <row r="2" spans="1:24" s="592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524"/>
      <c r="S2" s="524"/>
      <c r="T2" s="524"/>
      <c r="U2" s="524"/>
      <c r="V2" s="524"/>
      <c r="W2" s="524"/>
      <c r="X2" s="524"/>
    </row>
    <row r="3" spans="1:24" s="592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24"/>
      <c r="M3" s="524"/>
      <c r="N3" s="524"/>
      <c r="O3" s="524"/>
      <c r="P3" s="524"/>
      <c r="Q3" s="524"/>
      <c r="R3" s="524"/>
      <c r="S3" s="524"/>
      <c r="T3" s="524"/>
      <c r="U3" s="524"/>
      <c r="V3" s="524"/>
      <c r="W3" s="524"/>
      <c r="X3" s="524"/>
    </row>
    <row r="4" spans="1:24" ht="15" customHeight="1" thickBot="1">
      <c r="B4" s="471" t="s">
        <v>498</v>
      </c>
      <c r="C4" s="419"/>
      <c r="D4" s="419"/>
      <c r="E4" s="419"/>
      <c r="F4" s="419"/>
      <c r="G4" s="419"/>
      <c r="H4" s="419"/>
      <c r="I4" s="419"/>
      <c r="J4" s="419"/>
    </row>
    <row r="5" spans="1:24">
      <c r="B5" s="638" t="s">
        <v>287</v>
      </c>
      <c r="C5" s="639"/>
      <c r="D5" s="639"/>
      <c r="E5" s="639"/>
      <c r="F5" s="639"/>
      <c r="G5" s="639"/>
      <c r="H5" s="639"/>
      <c r="I5" s="639"/>
      <c r="J5" s="639"/>
    </row>
    <row r="6" spans="1:24" ht="15" customHeight="1" thickBot="1">
      <c r="B6" s="427"/>
      <c r="C6" s="428" t="s">
        <v>454</v>
      </c>
      <c r="D6" s="428" t="s">
        <v>455</v>
      </c>
      <c r="E6" s="428" t="s">
        <v>456</v>
      </c>
      <c r="F6" s="428" t="s">
        <v>457</v>
      </c>
      <c r="G6" s="523">
        <v>2016</v>
      </c>
      <c r="H6" s="423" t="s">
        <v>458</v>
      </c>
      <c r="I6" s="423" t="s">
        <v>459</v>
      </c>
      <c r="J6" s="523" t="s">
        <v>540</v>
      </c>
    </row>
    <row r="7" spans="1:24">
      <c r="B7" s="399" t="s">
        <v>32</v>
      </c>
      <c r="C7" s="559">
        <v>136</v>
      </c>
      <c r="D7" s="559">
        <v>-117</v>
      </c>
      <c r="E7" s="559">
        <v>129</v>
      </c>
      <c r="F7" s="560">
        <v>-331</v>
      </c>
      <c r="G7" s="561">
        <v>-183</v>
      </c>
      <c r="H7" s="559">
        <v>816</v>
      </c>
      <c r="I7" s="559">
        <v>-928</v>
      </c>
      <c r="J7" s="562">
        <v>544</v>
      </c>
    </row>
    <row r="8" spans="1:24">
      <c r="B8" s="399" t="s">
        <v>52</v>
      </c>
      <c r="C8" s="559">
        <v>-31</v>
      </c>
      <c r="D8" s="559">
        <v>31</v>
      </c>
      <c r="E8" s="559">
        <v>69</v>
      </c>
      <c r="F8" s="560">
        <v>-181</v>
      </c>
      <c r="G8" s="561">
        <v>-113</v>
      </c>
      <c r="H8" s="559">
        <v>-292</v>
      </c>
      <c r="I8" s="559">
        <v>963</v>
      </c>
      <c r="J8" s="562">
        <v>-98</v>
      </c>
    </row>
    <row r="9" spans="1:24">
      <c r="B9" s="399" t="s">
        <v>53</v>
      </c>
      <c r="C9" s="559">
        <v>0</v>
      </c>
      <c r="D9" s="559">
        <v>1</v>
      </c>
      <c r="E9" s="559">
        <v>-1</v>
      </c>
      <c r="F9" s="560">
        <v>1</v>
      </c>
      <c r="G9" s="561">
        <v>1</v>
      </c>
      <c r="H9" s="559">
        <v>0</v>
      </c>
      <c r="I9" s="559">
        <v>0</v>
      </c>
      <c r="J9" s="562">
        <v>0</v>
      </c>
    </row>
    <row r="10" spans="1:24">
      <c r="B10" s="399" t="s">
        <v>54</v>
      </c>
      <c r="C10" s="559">
        <v>-5</v>
      </c>
      <c r="D10" s="559">
        <v>-68</v>
      </c>
      <c r="E10" s="559">
        <v>1</v>
      </c>
      <c r="F10" s="560">
        <v>-30</v>
      </c>
      <c r="G10" s="561">
        <v>-102</v>
      </c>
      <c r="H10" s="559">
        <v>23</v>
      </c>
      <c r="I10" s="559">
        <v>9</v>
      </c>
      <c r="J10" s="562">
        <v>-11</v>
      </c>
    </row>
    <row r="11" spans="1:24" ht="29.25">
      <c r="B11" s="399" t="s">
        <v>172</v>
      </c>
      <c r="C11" s="559">
        <v>-29</v>
      </c>
      <c r="D11" s="559">
        <v>19</v>
      </c>
      <c r="E11" s="559">
        <v>-15</v>
      </c>
      <c r="F11" s="560">
        <v>88</v>
      </c>
      <c r="G11" s="561">
        <v>63</v>
      </c>
      <c r="H11" s="559">
        <v>-36</v>
      </c>
      <c r="I11" s="559">
        <v>-73</v>
      </c>
      <c r="J11" s="562">
        <v>-25</v>
      </c>
    </row>
    <row r="12" spans="1:24" s="1" customFormat="1" ht="30">
      <c r="A12"/>
      <c r="B12" s="401" t="s">
        <v>167</v>
      </c>
      <c r="C12" s="640">
        <v>-65</v>
      </c>
      <c r="D12" s="640">
        <v>-17</v>
      </c>
      <c r="E12" s="640">
        <v>54</v>
      </c>
      <c r="F12" s="641">
        <v>-123</v>
      </c>
      <c r="G12" s="642">
        <v>-151</v>
      </c>
      <c r="H12" s="640">
        <v>-304</v>
      </c>
      <c r="I12" s="640">
        <v>899</v>
      </c>
      <c r="J12" s="643">
        <v>-134</v>
      </c>
      <c r="K12" s="416"/>
      <c r="L12" s="416"/>
      <c r="M12" s="416"/>
      <c r="N12" s="416"/>
      <c r="O12" s="416"/>
      <c r="P12" s="416"/>
      <c r="Q12" s="416"/>
      <c r="R12" s="416"/>
      <c r="S12" s="416"/>
      <c r="T12" s="416"/>
      <c r="U12" s="416"/>
      <c r="V12" s="416"/>
      <c r="W12" s="416"/>
      <c r="X12" s="416"/>
    </row>
    <row r="13" spans="1:24">
      <c r="B13" s="399" t="s">
        <v>122</v>
      </c>
      <c r="C13" s="559">
        <v>0</v>
      </c>
      <c r="D13" s="559">
        <v>-55</v>
      </c>
      <c r="E13" s="559">
        <v>0</v>
      </c>
      <c r="F13" s="560">
        <v>-13</v>
      </c>
      <c r="G13" s="561">
        <v>-67</v>
      </c>
      <c r="H13" s="559">
        <v>0</v>
      </c>
      <c r="I13" s="559">
        <v>0</v>
      </c>
      <c r="J13" s="562">
        <v>0</v>
      </c>
    </row>
    <row r="14" spans="1:24" ht="29.25">
      <c r="B14" s="399" t="s">
        <v>172</v>
      </c>
      <c r="C14" s="559">
        <v>0</v>
      </c>
      <c r="D14" s="559">
        <v>-18</v>
      </c>
      <c r="E14" s="559">
        <v>0</v>
      </c>
      <c r="F14" s="560">
        <v>0</v>
      </c>
      <c r="G14" s="561">
        <v>-18</v>
      </c>
      <c r="H14" s="559">
        <v>0</v>
      </c>
      <c r="I14" s="559">
        <v>0</v>
      </c>
      <c r="J14" s="562">
        <v>0</v>
      </c>
    </row>
    <row r="15" spans="1:24" s="1" customFormat="1" ht="30">
      <c r="A15"/>
      <c r="B15" s="401" t="s">
        <v>154</v>
      </c>
      <c r="C15" s="640">
        <v>0</v>
      </c>
      <c r="D15" s="640">
        <v>-73</v>
      </c>
      <c r="E15" s="640">
        <v>0</v>
      </c>
      <c r="F15" s="641">
        <v>-13</v>
      </c>
      <c r="G15" s="642">
        <v>-86</v>
      </c>
      <c r="H15" s="640">
        <v>0</v>
      </c>
      <c r="I15" s="640">
        <v>0</v>
      </c>
      <c r="J15" s="643">
        <v>0</v>
      </c>
      <c r="K15" s="416"/>
      <c r="L15" s="416"/>
      <c r="M15" s="416"/>
      <c r="N15" s="416"/>
      <c r="O15" s="416"/>
      <c r="P15" s="416"/>
      <c r="Q15" s="416"/>
      <c r="R15" s="416"/>
      <c r="S15" s="416"/>
      <c r="T15" s="416"/>
      <c r="U15" s="416"/>
      <c r="V15" s="416"/>
      <c r="W15" s="416"/>
      <c r="X15" s="416"/>
    </row>
    <row r="16" spans="1:24" ht="29.25">
      <c r="B16" s="399" t="s">
        <v>175</v>
      </c>
      <c r="C16" s="559">
        <v>4</v>
      </c>
      <c r="D16" s="559">
        <v>15</v>
      </c>
      <c r="E16" s="559">
        <v>1</v>
      </c>
      <c r="F16" s="560">
        <v>-5</v>
      </c>
      <c r="G16" s="561">
        <v>15</v>
      </c>
      <c r="H16" s="559">
        <v>1</v>
      </c>
      <c r="I16" s="559">
        <v>3</v>
      </c>
      <c r="J16" s="562">
        <v>2</v>
      </c>
    </row>
    <row r="17" spans="2:10" ht="29.25">
      <c r="B17" s="399" t="s">
        <v>174</v>
      </c>
      <c r="C17" s="559">
        <v>0</v>
      </c>
      <c r="D17" s="559">
        <v>2</v>
      </c>
      <c r="E17" s="559">
        <v>0</v>
      </c>
      <c r="F17" s="560">
        <v>0</v>
      </c>
      <c r="G17" s="561">
        <v>2</v>
      </c>
      <c r="H17" s="559">
        <v>0</v>
      </c>
      <c r="I17" s="559">
        <v>0</v>
      </c>
      <c r="J17" s="562">
        <v>0</v>
      </c>
    </row>
    <row r="18" spans="2:10" ht="30">
      <c r="B18" s="401" t="s">
        <v>176</v>
      </c>
      <c r="C18" s="559">
        <v>4</v>
      </c>
      <c r="D18" s="559">
        <v>16</v>
      </c>
      <c r="E18" s="559">
        <v>1</v>
      </c>
      <c r="F18" s="560">
        <v>-5</v>
      </c>
      <c r="G18" s="561">
        <v>17</v>
      </c>
      <c r="H18" s="559">
        <v>1</v>
      </c>
      <c r="I18" s="559">
        <v>3</v>
      </c>
      <c r="J18" s="562">
        <v>2</v>
      </c>
    </row>
    <row r="19" spans="2:10">
      <c r="B19" s="401" t="s">
        <v>55</v>
      </c>
      <c r="C19" s="559">
        <v>-61</v>
      </c>
      <c r="D19" s="559">
        <v>-74</v>
      </c>
      <c r="E19" s="559">
        <v>55</v>
      </c>
      <c r="F19" s="560">
        <v>-141</v>
      </c>
      <c r="G19" s="561">
        <v>-220</v>
      </c>
      <c r="H19" s="559">
        <v>-304</v>
      </c>
      <c r="I19" s="559">
        <v>902</v>
      </c>
      <c r="J19" s="562">
        <v>-132</v>
      </c>
    </row>
    <row r="20" spans="2:10">
      <c r="B20" s="401" t="s">
        <v>56</v>
      </c>
      <c r="C20" s="559">
        <v>75</v>
      </c>
      <c r="D20" s="559">
        <v>-190</v>
      </c>
      <c r="E20" s="559">
        <v>184</v>
      </c>
      <c r="F20" s="560">
        <v>-472</v>
      </c>
      <c r="G20" s="561">
        <v>-403</v>
      </c>
      <c r="H20" s="559">
        <v>512</v>
      </c>
      <c r="I20" s="559">
        <v>-26</v>
      </c>
      <c r="J20" s="562">
        <v>412</v>
      </c>
    </row>
    <row r="21" spans="2:10">
      <c r="B21" s="469" t="s">
        <v>33</v>
      </c>
      <c r="C21" s="563">
        <v>0</v>
      </c>
      <c r="D21" s="563">
        <v>-208</v>
      </c>
      <c r="E21" s="563">
        <v>58</v>
      </c>
      <c r="F21" s="564">
        <v>-462</v>
      </c>
      <c r="G21" s="565">
        <v>-611</v>
      </c>
      <c r="H21" s="563">
        <v>416</v>
      </c>
      <c r="I21" s="563">
        <v>-131</v>
      </c>
      <c r="J21" s="566">
        <v>336</v>
      </c>
    </row>
    <row r="22" spans="2:10">
      <c r="B22" s="469" t="s">
        <v>34</v>
      </c>
      <c r="C22" s="563">
        <v>26</v>
      </c>
      <c r="D22" s="563">
        <v>26</v>
      </c>
      <c r="E22" s="563">
        <v>26</v>
      </c>
      <c r="F22" s="564">
        <v>26</v>
      </c>
      <c r="G22" s="565">
        <v>103</v>
      </c>
      <c r="H22" s="563">
        <v>25</v>
      </c>
      <c r="I22" s="563">
        <v>26</v>
      </c>
      <c r="J22" s="566">
        <v>26</v>
      </c>
    </row>
    <row r="23" spans="2:10">
      <c r="B23" s="469" t="s">
        <v>35</v>
      </c>
      <c r="C23" s="563">
        <v>49</v>
      </c>
      <c r="D23" s="563">
        <v>-8</v>
      </c>
      <c r="E23" s="563">
        <v>101</v>
      </c>
      <c r="F23" s="564">
        <v>-36</v>
      </c>
      <c r="G23" s="565">
        <v>105</v>
      </c>
      <c r="H23" s="563">
        <v>71</v>
      </c>
      <c r="I23" s="563">
        <v>80</v>
      </c>
      <c r="J23" s="566">
        <v>50</v>
      </c>
    </row>
    <row r="25" spans="2:10">
      <c r="B25" s="567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9" fitToHeight="0" orientation="portrait" r:id="rId1"/>
  <headerFooter alignWithMargins="0">
    <oddHeader>&amp;CNovember 9, 2017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57"/>
  <sheetViews>
    <sheetView view="pageBreakPreview" zoomScaleNormal="100" zoomScaleSheetLayoutView="100" workbookViewId="0">
      <pane xSplit="2" ySplit="6" topLeftCell="C3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2" max="2" width="54.5703125" style="370" customWidth="1"/>
    <col min="3" max="9" width="14.7109375" style="370" customWidth="1"/>
    <col min="10" max="15" width="11.42578125" style="370"/>
    <col min="16" max="16384" width="11.42578125" style="354"/>
  </cols>
  <sheetData>
    <row r="1" spans="1:15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</row>
    <row r="2" spans="1:15" s="592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</row>
    <row r="3" spans="1:15" s="592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24"/>
      <c r="M3" s="524"/>
      <c r="N3" s="524"/>
      <c r="O3" s="524"/>
    </row>
    <row r="4" spans="1:15" ht="15" customHeight="1" thickBot="1">
      <c r="B4" s="419" t="s">
        <v>421</v>
      </c>
      <c r="C4" s="419"/>
      <c r="D4" s="419"/>
      <c r="E4" s="419"/>
      <c r="F4" s="419"/>
      <c r="G4" s="419"/>
      <c r="H4" s="419"/>
      <c r="I4" s="419"/>
    </row>
    <row r="5" spans="1:15" ht="15" customHeight="1">
      <c r="B5" s="421" t="s">
        <v>287</v>
      </c>
      <c r="C5" s="421"/>
      <c r="D5" s="421"/>
      <c r="E5" s="421"/>
      <c r="F5" s="421"/>
      <c r="G5" s="421"/>
      <c r="H5" s="421"/>
      <c r="I5" s="421"/>
    </row>
    <row r="6" spans="1:15" ht="15.75" thickBot="1">
      <c r="B6" s="427"/>
      <c r="C6" s="428" t="s">
        <v>471</v>
      </c>
      <c r="D6" s="428" t="s">
        <v>472</v>
      </c>
      <c r="E6" s="428" t="s">
        <v>473</v>
      </c>
      <c r="F6" s="442" t="s">
        <v>465</v>
      </c>
      <c r="G6" s="428" t="s">
        <v>460</v>
      </c>
      <c r="H6" s="428" t="s">
        <v>464</v>
      </c>
      <c r="I6" s="523" t="s">
        <v>541</v>
      </c>
    </row>
    <row r="7" spans="1:15" ht="15" customHeight="1">
      <c r="B7" s="401" t="s">
        <v>57</v>
      </c>
      <c r="C7" s="553"/>
      <c r="D7" s="553"/>
      <c r="E7" s="553"/>
      <c r="F7" s="568"/>
      <c r="I7" s="569"/>
    </row>
    <row r="8" spans="1:15" ht="15" customHeight="1">
      <c r="B8" s="399" t="s">
        <v>58</v>
      </c>
      <c r="C8" s="424">
        <v>3304</v>
      </c>
      <c r="D8" s="424">
        <v>2815</v>
      </c>
      <c r="E8" s="424">
        <v>2429</v>
      </c>
      <c r="F8" s="570">
        <v>1713</v>
      </c>
      <c r="G8" s="571">
        <v>1724</v>
      </c>
      <c r="H8" s="571">
        <v>1664</v>
      </c>
      <c r="I8" s="572">
        <v>1651</v>
      </c>
    </row>
    <row r="9" spans="1:15" ht="15" customHeight="1">
      <c r="B9" s="399" t="s">
        <v>59</v>
      </c>
      <c r="C9" s="424">
        <v>16268</v>
      </c>
      <c r="D9" s="424">
        <v>16050</v>
      </c>
      <c r="E9" s="424">
        <v>15133</v>
      </c>
      <c r="F9" s="570">
        <v>14613</v>
      </c>
      <c r="G9" s="571">
        <v>14317</v>
      </c>
      <c r="H9" s="571">
        <v>14036</v>
      </c>
      <c r="I9" s="572">
        <v>13777</v>
      </c>
    </row>
    <row r="10" spans="1:15" ht="15" customHeight="1">
      <c r="B10" s="399" t="s">
        <v>170</v>
      </c>
      <c r="C10" s="424">
        <v>2452</v>
      </c>
      <c r="D10" s="424">
        <v>2562</v>
      </c>
      <c r="E10" s="424">
        <v>2658</v>
      </c>
      <c r="F10" s="570">
        <v>2860</v>
      </c>
      <c r="G10" s="571">
        <v>2660</v>
      </c>
      <c r="H10" s="571">
        <v>2655</v>
      </c>
      <c r="I10" s="572">
        <v>2748</v>
      </c>
    </row>
    <row r="11" spans="1:15" ht="15" customHeight="1">
      <c r="B11" s="399" t="s">
        <v>60</v>
      </c>
      <c r="C11" s="424">
        <v>847</v>
      </c>
      <c r="D11" s="424">
        <v>864</v>
      </c>
      <c r="E11" s="424">
        <v>890</v>
      </c>
      <c r="F11" s="570">
        <v>947</v>
      </c>
      <c r="G11" s="571">
        <v>1035</v>
      </c>
      <c r="H11" s="571">
        <v>1271</v>
      </c>
      <c r="I11" s="572">
        <v>1202</v>
      </c>
    </row>
    <row r="12" spans="1:15" ht="15" customHeight="1">
      <c r="B12" s="399" t="s">
        <v>61</v>
      </c>
      <c r="C12" s="424">
        <v>95</v>
      </c>
      <c r="D12" s="424">
        <v>108</v>
      </c>
      <c r="E12" s="424">
        <v>118</v>
      </c>
      <c r="F12" s="570">
        <v>70</v>
      </c>
      <c r="G12" s="571">
        <v>65</v>
      </c>
      <c r="H12" s="571">
        <v>62</v>
      </c>
      <c r="I12" s="572">
        <v>66</v>
      </c>
    </row>
    <row r="13" spans="1:15" ht="15" customHeight="1">
      <c r="B13" s="399" t="s">
        <v>63</v>
      </c>
      <c r="C13" s="424">
        <v>864</v>
      </c>
      <c r="D13" s="424">
        <v>1038</v>
      </c>
      <c r="E13" s="424">
        <v>861</v>
      </c>
      <c r="F13" s="570">
        <v>839</v>
      </c>
      <c r="G13" s="571">
        <v>771</v>
      </c>
      <c r="H13" s="571">
        <v>733</v>
      </c>
      <c r="I13" s="572">
        <v>721</v>
      </c>
    </row>
    <row r="14" spans="1:15" s="481" customFormat="1" ht="15" customHeight="1">
      <c r="A14"/>
      <c r="B14" s="401" t="s">
        <v>62</v>
      </c>
      <c r="C14" s="473">
        <v>23830</v>
      </c>
      <c r="D14" s="473">
        <v>23437</v>
      </c>
      <c r="E14" s="473">
        <v>22089</v>
      </c>
      <c r="F14" s="573">
        <v>21042</v>
      </c>
      <c r="G14" s="574">
        <v>20573</v>
      </c>
      <c r="H14" s="574">
        <v>20421</v>
      </c>
      <c r="I14" s="575">
        <v>20165</v>
      </c>
      <c r="J14" s="480"/>
      <c r="K14" s="480"/>
      <c r="L14" s="480"/>
      <c r="M14" s="480"/>
      <c r="N14" s="480"/>
      <c r="O14" s="480"/>
    </row>
    <row r="15" spans="1:15" ht="15" customHeight="1">
      <c r="B15" s="399"/>
      <c r="C15" s="424"/>
      <c r="D15" s="424"/>
      <c r="E15" s="424"/>
      <c r="F15" s="570"/>
      <c r="G15" s="571"/>
      <c r="H15" s="571"/>
      <c r="I15" s="572"/>
    </row>
    <row r="16" spans="1:15" ht="15" customHeight="1">
      <c r="B16" s="399" t="s">
        <v>64</v>
      </c>
      <c r="C16" s="424">
        <v>1582</v>
      </c>
      <c r="D16" s="424">
        <v>1733</v>
      </c>
      <c r="E16" s="424">
        <v>1743</v>
      </c>
      <c r="F16" s="570">
        <v>1663</v>
      </c>
      <c r="G16" s="571">
        <v>1468</v>
      </c>
      <c r="H16" s="571">
        <v>1333</v>
      </c>
      <c r="I16" s="572">
        <v>1541</v>
      </c>
    </row>
    <row r="17" spans="1:15" ht="15" customHeight="1">
      <c r="B17" s="399" t="s">
        <v>65</v>
      </c>
      <c r="C17" s="424">
        <v>2425</v>
      </c>
      <c r="D17" s="424">
        <v>2590</v>
      </c>
      <c r="E17" s="424">
        <v>2803</v>
      </c>
      <c r="F17" s="570">
        <v>2459</v>
      </c>
      <c r="G17" s="571">
        <v>2574</v>
      </c>
      <c r="H17" s="571">
        <v>2037</v>
      </c>
      <c r="I17" s="572">
        <v>2019</v>
      </c>
    </row>
    <row r="18" spans="1:15" ht="15" customHeight="1">
      <c r="B18" s="399" t="s">
        <v>60</v>
      </c>
      <c r="C18" s="424">
        <v>1618</v>
      </c>
      <c r="D18" s="424">
        <v>1040</v>
      </c>
      <c r="E18" s="424">
        <v>858</v>
      </c>
      <c r="F18" s="570">
        <v>1245</v>
      </c>
      <c r="G18" s="571">
        <v>732</v>
      </c>
      <c r="H18" s="571">
        <v>807</v>
      </c>
      <c r="I18" s="572">
        <v>1088</v>
      </c>
    </row>
    <row r="19" spans="1:15" ht="15" customHeight="1">
      <c r="B19" s="399" t="s">
        <v>66</v>
      </c>
      <c r="C19" s="424">
        <v>109</v>
      </c>
      <c r="D19" s="424">
        <v>94</v>
      </c>
      <c r="E19" s="424">
        <v>94</v>
      </c>
      <c r="F19" s="570">
        <v>32</v>
      </c>
      <c r="G19" s="571">
        <v>30</v>
      </c>
      <c r="H19" s="571">
        <v>29</v>
      </c>
      <c r="I19" s="572">
        <v>20</v>
      </c>
    </row>
    <row r="20" spans="1:15" ht="15" customHeight="1">
      <c r="B20" s="399" t="s">
        <v>61</v>
      </c>
      <c r="C20" s="424">
        <v>439</v>
      </c>
      <c r="D20" s="424">
        <v>371</v>
      </c>
      <c r="E20" s="424">
        <v>312</v>
      </c>
      <c r="F20" s="570">
        <v>198</v>
      </c>
      <c r="G20" s="571">
        <v>250</v>
      </c>
      <c r="H20" s="571">
        <v>254</v>
      </c>
      <c r="I20" s="572">
        <v>240</v>
      </c>
    </row>
    <row r="21" spans="1:15" ht="15" customHeight="1">
      <c r="B21" s="399" t="s">
        <v>67</v>
      </c>
      <c r="C21" s="424">
        <v>1169</v>
      </c>
      <c r="D21" s="424">
        <v>1325</v>
      </c>
      <c r="E21" s="424">
        <v>1748</v>
      </c>
      <c r="F21" s="570">
        <v>2069</v>
      </c>
      <c r="G21" s="571">
        <v>3123</v>
      </c>
      <c r="H21" s="571">
        <v>4203</v>
      </c>
      <c r="I21" s="572">
        <v>4643</v>
      </c>
    </row>
    <row r="22" spans="1:15" s="481" customFormat="1" ht="15" customHeight="1">
      <c r="A22"/>
      <c r="B22" s="401" t="s">
        <v>68</v>
      </c>
      <c r="C22" s="473">
        <v>7343</v>
      </c>
      <c r="D22" s="473">
        <v>7154</v>
      </c>
      <c r="E22" s="473">
        <v>7559</v>
      </c>
      <c r="F22" s="573">
        <v>7666</v>
      </c>
      <c r="G22" s="574">
        <v>8177</v>
      </c>
      <c r="H22" s="574">
        <v>8664</v>
      </c>
      <c r="I22" s="575">
        <v>9551</v>
      </c>
      <c r="J22" s="480"/>
      <c r="K22" s="480"/>
      <c r="L22" s="480"/>
      <c r="M22" s="480"/>
      <c r="N22" s="480"/>
      <c r="O22" s="480"/>
    </row>
    <row r="23" spans="1:15" ht="15" customHeight="1">
      <c r="B23" s="399" t="s">
        <v>153</v>
      </c>
      <c r="C23" s="424">
        <v>85</v>
      </c>
      <c r="D23" s="424">
        <v>229</v>
      </c>
      <c r="E23" s="424">
        <v>1494</v>
      </c>
      <c r="F23" s="570">
        <v>3405</v>
      </c>
      <c r="G23" s="571">
        <v>2403</v>
      </c>
      <c r="H23" s="571">
        <v>247</v>
      </c>
      <c r="I23" s="572">
        <v>47</v>
      </c>
    </row>
    <row r="24" spans="1:15" ht="15" customHeight="1">
      <c r="B24" s="399"/>
      <c r="C24" s="424"/>
      <c r="D24" s="424"/>
      <c r="E24" s="424"/>
      <c r="F24" s="570"/>
      <c r="G24" s="571"/>
      <c r="H24" s="571"/>
      <c r="I24" s="572"/>
    </row>
    <row r="25" spans="1:15" ht="15" customHeight="1" thickBot="1">
      <c r="B25" s="425" t="s">
        <v>69</v>
      </c>
      <c r="C25" s="426">
        <v>31258</v>
      </c>
      <c r="D25" s="426">
        <v>30820</v>
      </c>
      <c r="E25" s="426">
        <v>31142</v>
      </c>
      <c r="F25" s="576">
        <v>32112</v>
      </c>
      <c r="G25" s="577">
        <v>31153</v>
      </c>
      <c r="H25" s="577">
        <v>29332</v>
      </c>
      <c r="I25" s="578">
        <v>29763</v>
      </c>
    </row>
    <row r="26" spans="1:15" ht="15" customHeight="1">
      <c r="B26" s="399"/>
      <c r="C26" s="424"/>
      <c r="D26" s="424"/>
      <c r="E26" s="424"/>
      <c r="F26" s="570"/>
      <c r="G26" s="571"/>
      <c r="H26" s="571"/>
      <c r="I26" s="572"/>
    </row>
    <row r="27" spans="1:15" ht="15" customHeight="1">
      <c r="B27" s="401" t="s">
        <v>70</v>
      </c>
      <c r="C27" s="473"/>
      <c r="D27" s="473"/>
      <c r="E27" s="473"/>
      <c r="F27" s="573"/>
      <c r="G27" s="571"/>
      <c r="H27" s="571"/>
      <c r="I27" s="572"/>
    </row>
    <row r="28" spans="1:15" ht="15" customHeight="1">
      <c r="B28" s="399" t="s">
        <v>71</v>
      </c>
      <c r="C28" s="424">
        <v>327</v>
      </c>
      <c r="D28" s="424">
        <v>327</v>
      </c>
      <c r="E28" s="424">
        <v>327</v>
      </c>
      <c r="F28" s="570">
        <v>327</v>
      </c>
      <c r="G28" s="571">
        <v>327</v>
      </c>
      <c r="H28" s="571">
        <v>327</v>
      </c>
      <c r="I28" s="572">
        <v>327</v>
      </c>
    </row>
    <row r="29" spans="1:15" ht="15" customHeight="1">
      <c r="B29" s="399" t="s">
        <v>72</v>
      </c>
      <c r="C29" s="424">
        <v>2231</v>
      </c>
      <c r="D29" s="424">
        <v>2231</v>
      </c>
      <c r="E29" s="424">
        <v>2231</v>
      </c>
      <c r="F29" s="570">
        <v>2231</v>
      </c>
      <c r="G29" s="571">
        <v>2231</v>
      </c>
      <c r="H29" s="571">
        <v>2231</v>
      </c>
      <c r="I29" s="572">
        <v>2231</v>
      </c>
    </row>
    <row r="30" spans="1:15" ht="15" customHeight="1">
      <c r="B30" s="399" t="s">
        <v>73</v>
      </c>
      <c r="C30" s="424">
        <v>9137</v>
      </c>
      <c r="D30" s="424">
        <v>8473</v>
      </c>
      <c r="E30" s="424">
        <v>8561</v>
      </c>
      <c r="F30" s="570">
        <v>8357</v>
      </c>
      <c r="G30" s="571">
        <v>8802</v>
      </c>
      <c r="H30" s="571">
        <v>8256</v>
      </c>
      <c r="I30" s="572">
        <v>8620</v>
      </c>
    </row>
    <row r="31" spans="1:15" ht="15" customHeight="1">
      <c r="B31" s="399" t="s">
        <v>74</v>
      </c>
      <c r="C31" s="424">
        <v>11696</v>
      </c>
      <c r="D31" s="424">
        <v>11031</v>
      </c>
      <c r="E31" s="424">
        <v>11119</v>
      </c>
      <c r="F31" s="570">
        <v>10915</v>
      </c>
      <c r="G31" s="571">
        <v>11360</v>
      </c>
      <c r="H31" s="571">
        <v>10814</v>
      </c>
      <c r="I31" s="572">
        <v>11179</v>
      </c>
    </row>
    <row r="32" spans="1:15" ht="15" customHeight="1">
      <c r="B32" s="399" t="s">
        <v>75</v>
      </c>
      <c r="C32" s="424">
        <v>2675</v>
      </c>
      <c r="D32" s="424">
        <v>2809</v>
      </c>
      <c r="E32" s="424">
        <v>2909</v>
      </c>
      <c r="F32" s="570">
        <v>3010</v>
      </c>
      <c r="G32" s="571">
        <v>3080</v>
      </c>
      <c r="H32" s="571">
        <v>3019</v>
      </c>
      <c r="I32" s="572">
        <v>3069</v>
      </c>
    </row>
    <row r="33" spans="1:15" s="481" customFormat="1" ht="15" customHeight="1">
      <c r="A33"/>
      <c r="B33" s="401" t="s">
        <v>76</v>
      </c>
      <c r="C33" s="473">
        <v>14371</v>
      </c>
      <c r="D33" s="473">
        <v>13840</v>
      </c>
      <c r="E33" s="473">
        <v>14029</v>
      </c>
      <c r="F33" s="573">
        <v>13925</v>
      </c>
      <c r="G33" s="574">
        <v>14441</v>
      </c>
      <c r="H33" s="574">
        <v>13833</v>
      </c>
      <c r="I33" s="575">
        <v>14247</v>
      </c>
      <c r="J33" s="480"/>
      <c r="K33" s="480"/>
      <c r="L33" s="480"/>
      <c r="M33" s="480"/>
      <c r="N33" s="480"/>
      <c r="O33" s="480"/>
    </row>
    <row r="34" spans="1:15" ht="15" customHeight="1">
      <c r="B34" s="399"/>
      <c r="C34" s="424"/>
      <c r="D34" s="424"/>
      <c r="E34" s="424"/>
      <c r="F34" s="570"/>
      <c r="G34" s="571"/>
      <c r="H34" s="571"/>
      <c r="I34" s="572"/>
    </row>
    <row r="35" spans="1:15" ht="15" customHeight="1">
      <c r="B35" s="399" t="s">
        <v>77</v>
      </c>
      <c r="C35" s="424">
        <v>1043</v>
      </c>
      <c r="D35" s="424">
        <v>1078</v>
      </c>
      <c r="E35" s="424">
        <v>1072</v>
      </c>
      <c r="F35" s="570">
        <v>1057</v>
      </c>
      <c r="G35" s="571">
        <v>1053</v>
      </c>
      <c r="H35" s="571">
        <v>1038</v>
      </c>
      <c r="I35" s="572">
        <v>1033</v>
      </c>
    </row>
    <row r="36" spans="1:15" ht="15" customHeight="1">
      <c r="B36" s="399" t="s">
        <v>78</v>
      </c>
      <c r="C36" s="424">
        <v>3722</v>
      </c>
      <c r="D36" s="424">
        <v>3723</v>
      </c>
      <c r="E36" s="424">
        <v>3724</v>
      </c>
      <c r="F36" s="570">
        <v>3725</v>
      </c>
      <c r="G36" s="571">
        <v>3726</v>
      </c>
      <c r="H36" s="571">
        <v>3727</v>
      </c>
      <c r="I36" s="572">
        <v>3728</v>
      </c>
    </row>
    <row r="37" spans="1:15" ht="15" customHeight="1">
      <c r="B37" s="399" t="s">
        <v>79</v>
      </c>
      <c r="C37" s="424">
        <v>867</v>
      </c>
      <c r="D37" s="424">
        <v>869</v>
      </c>
      <c r="E37" s="424">
        <v>859</v>
      </c>
      <c r="F37" s="570">
        <v>1012</v>
      </c>
      <c r="G37" s="571">
        <v>977</v>
      </c>
      <c r="H37" s="571">
        <v>947</v>
      </c>
      <c r="I37" s="572">
        <v>848</v>
      </c>
    </row>
    <row r="38" spans="1:15" ht="15" customHeight="1">
      <c r="B38" s="399" t="s">
        <v>80</v>
      </c>
      <c r="C38" s="424">
        <v>3327</v>
      </c>
      <c r="D38" s="424">
        <v>3335</v>
      </c>
      <c r="E38" s="424">
        <v>3316</v>
      </c>
      <c r="F38" s="570">
        <v>3320</v>
      </c>
      <c r="G38" s="571">
        <v>3303</v>
      </c>
      <c r="H38" s="571">
        <v>3254</v>
      </c>
      <c r="I38" s="572">
        <v>3136</v>
      </c>
    </row>
    <row r="39" spans="1:15" ht="15" customHeight="1">
      <c r="B39" s="399" t="s">
        <v>81</v>
      </c>
      <c r="C39" s="424">
        <v>544</v>
      </c>
      <c r="D39" s="424">
        <v>539</v>
      </c>
      <c r="E39" s="424">
        <v>527</v>
      </c>
      <c r="F39" s="570">
        <v>553</v>
      </c>
      <c r="G39" s="571">
        <v>527</v>
      </c>
      <c r="H39" s="571">
        <v>562</v>
      </c>
      <c r="I39" s="572">
        <v>478</v>
      </c>
    </row>
    <row r="40" spans="1:15" ht="15" customHeight="1">
      <c r="B40" s="399" t="s">
        <v>82</v>
      </c>
      <c r="C40" s="424">
        <v>344</v>
      </c>
      <c r="D40" s="424">
        <v>335</v>
      </c>
      <c r="E40" s="424">
        <v>308</v>
      </c>
      <c r="F40" s="570">
        <v>409</v>
      </c>
      <c r="G40" s="571">
        <v>384</v>
      </c>
      <c r="H40" s="571">
        <v>385</v>
      </c>
      <c r="I40" s="572">
        <v>387</v>
      </c>
    </row>
    <row r="41" spans="1:15" ht="15" customHeight="1">
      <c r="B41" s="399" t="s">
        <v>83</v>
      </c>
      <c r="C41" s="424">
        <v>162</v>
      </c>
      <c r="D41" s="424">
        <v>159</v>
      </c>
      <c r="E41" s="424">
        <v>156</v>
      </c>
      <c r="F41" s="570">
        <v>155</v>
      </c>
      <c r="G41" s="571">
        <v>152</v>
      </c>
      <c r="H41" s="571">
        <v>149</v>
      </c>
      <c r="I41" s="572">
        <v>147</v>
      </c>
    </row>
    <row r="42" spans="1:15" ht="15" customHeight="1">
      <c r="B42" s="399" t="s">
        <v>63</v>
      </c>
      <c r="C42" s="424">
        <v>187</v>
      </c>
      <c r="D42" s="424">
        <v>194</v>
      </c>
      <c r="E42" s="424">
        <v>194</v>
      </c>
      <c r="F42" s="570">
        <v>122</v>
      </c>
      <c r="G42" s="571">
        <v>119</v>
      </c>
      <c r="H42" s="571">
        <v>121</v>
      </c>
      <c r="I42" s="572">
        <v>144</v>
      </c>
    </row>
    <row r="43" spans="1:15" s="481" customFormat="1" ht="15" customHeight="1">
      <c r="A43"/>
      <c r="B43" s="401" t="s">
        <v>84</v>
      </c>
      <c r="C43" s="473">
        <v>10196</v>
      </c>
      <c r="D43" s="473">
        <v>10233</v>
      </c>
      <c r="E43" s="473">
        <v>10157</v>
      </c>
      <c r="F43" s="573">
        <v>10354</v>
      </c>
      <c r="G43" s="574">
        <v>10242</v>
      </c>
      <c r="H43" s="574">
        <v>10182</v>
      </c>
      <c r="I43" s="575">
        <v>9901</v>
      </c>
      <c r="J43" s="480"/>
      <c r="K43" s="480"/>
      <c r="L43" s="480"/>
      <c r="M43" s="480"/>
      <c r="N43" s="480"/>
      <c r="O43" s="480"/>
    </row>
    <row r="44" spans="1:15" ht="15" customHeight="1">
      <c r="B44" s="399"/>
      <c r="C44" s="579"/>
      <c r="D44" s="579"/>
      <c r="E44" s="579"/>
      <c r="F44" s="570"/>
      <c r="G44" s="571"/>
      <c r="H44" s="571"/>
      <c r="I44" s="572"/>
    </row>
    <row r="45" spans="1:15" ht="15" customHeight="1">
      <c r="B45" s="399" t="s">
        <v>85</v>
      </c>
      <c r="C45" s="424">
        <v>2722</v>
      </c>
      <c r="D45" s="424">
        <v>3351</v>
      </c>
      <c r="E45" s="424">
        <v>3438</v>
      </c>
      <c r="F45" s="570">
        <v>3731</v>
      </c>
      <c r="G45" s="571">
        <v>3084</v>
      </c>
      <c r="H45" s="571">
        <v>2699</v>
      </c>
      <c r="I45" s="572">
        <v>2913</v>
      </c>
    </row>
    <row r="46" spans="1:15" ht="15" customHeight="1">
      <c r="B46" s="399" t="s">
        <v>78</v>
      </c>
      <c r="C46" s="424">
        <v>301</v>
      </c>
      <c r="D46" s="424">
        <v>67</v>
      </c>
      <c r="E46" s="424">
        <v>46</v>
      </c>
      <c r="F46" s="570">
        <v>38</v>
      </c>
      <c r="G46" s="571">
        <v>41</v>
      </c>
      <c r="H46" s="571">
        <v>67</v>
      </c>
      <c r="I46" s="572">
        <v>46</v>
      </c>
    </row>
    <row r="47" spans="1:15" ht="15" customHeight="1">
      <c r="B47" s="399" t="s">
        <v>79</v>
      </c>
      <c r="C47" s="424">
        <v>166</v>
      </c>
      <c r="D47" s="424">
        <v>365</v>
      </c>
      <c r="E47" s="424">
        <v>569</v>
      </c>
      <c r="F47" s="570">
        <v>222</v>
      </c>
      <c r="G47" s="571">
        <v>129</v>
      </c>
      <c r="H47" s="571">
        <v>128</v>
      </c>
      <c r="I47" s="572">
        <v>199</v>
      </c>
    </row>
    <row r="48" spans="1:15" ht="15" customHeight="1">
      <c r="B48" s="399" t="s">
        <v>86</v>
      </c>
      <c r="C48" s="424">
        <v>201</v>
      </c>
      <c r="D48" s="424">
        <v>211</v>
      </c>
      <c r="E48" s="424">
        <v>179</v>
      </c>
      <c r="F48" s="570">
        <v>212</v>
      </c>
      <c r="G48" s="571">
        <v>166</v>
      </c>
      <c r="H48" s="571">
        <v>186</v>
      </c>
      <c r="I48" s="572">
        <v>202</v>
      </c>
    </row>
    <row r="49" spans="1:15" ht="15" customHeight="1">
      <c r="B49" s="399" t="s">
        <v>80</v>
      </c>
      <c r="C49" s="424">
        <v>108</v>
      </c>
      <c r="D49" s="424">
        <v>117</v>
      </c>
      <c r="E49" s="424">
        <v>88</v>
      </c>
      <c r="F49" s="570">
        <v>92</v>
      </c>
      <c r="G49" s="571">
        <v>97</v>
      </c>
      <c r="H49" s="571">
        <v>102</v>
      </c>
      <c r="I49" s="572">
        <v>76</v>
      </c>
    </row>
    <row r="50" spans="1:15" ht="15" customHeight="1">
      <c r="B50" s="399" t="s">
        <v>81</v>
      </c>
      <c r="C50" s="424">
        <v>374</v>
      </c>
      <c r="D50" s="424">
        <v>359</v>
      </c>
      <c r="E50" s="424">
        <v>353</v>
      </c>
      <c r="F50" s="570">
        <v>435</v>
      </c>
      <c r="G50" s="571">
        <v>444</v>
      </c>
      <c r="H50" s="571">
        <v>366</v>
      </c>
      <c r="I50" s="572">
        <v>382</v>
      </c>
    </row>
    <row r="51" spans="1:15" ht="15" customHeight="1">
      <c r="B51" s="399" t="s">
        <v>82</v>
      </c>
      <c r="C51" s="424">
        <v>1686</v>
      </c>
      <c r="D51" s="424">
        <v>1174</v>
      </c>
      <c r="E51" s="424">
        <v>796</v>
      </c>
      <c r="F51" s="570">
        <v>1169</v>
      </c>
      <c r="G51" s="571">
        <v>749</v>
      </c>
      <c r="H51" s="571">
        <v>756</v>
      </c>
      <c r="I51" s="572">
        <v>940</v>
      </c>
    </row>
    <row r="52" spans="1:15" ht="15" customHeight="1">
      <c r="B52" s="399" t="s">
        <v>83</v>
      </c>
      <c r="C52" s="424">
        <v>1102</v>
      </c>
      <c r="D52" s="424">
        <v>1068</v>
      </c>
      <c r="E52" s="424">
        <v>1144</v>
      </c>
      <c r="F52" s="570">
        <v>828</v>
      </c>
      <c r="G52" s="571">
        <v>867</v>
      </c>
      <c r="H52" s="571">
        <v>867</v>
      </c>
      <c r="I52" s="572">
        <v>854</v>
      </c>
    </row>
    <row r="53" spans="1:15" s="481" customFormat="1" ht="15" customHeight="1">
      <c r="A53"/>
      <c r="B53" s="401" t="s">
        <v>88</v>
      </c>
      <c r="C53" s="473">
        <v>6661</v>
      </c>
      <c r="D53" s="473">
        <v>6711</v>
      </c>
      <c r="E53" s="473">
        <v>6614</v>
      </c>
      <c r="F53" s="573">
        <v>6727</v>
      </c>
      <c r="G53" s="574">
        <v>5577</v>
      </c>
      <c r="H53" s="574">
        <v>5172</v>
      </c>
      <c r="I53" s="575">
        <v>5612</v>
      </c>
      <c r="J53" s="480"/>
      <c r="K53" s="480"/>
      <c r="L53" s="480"/>
      <c r="M53" s="480"/>
      <c r="N53" s="480"/>
      <c r="O53" s="480"/>
    </row>
    <row r="54" spans="1:15" ht="15" customHeight="1">
      <c r="B54" s="399" t="s">
        <v>87</v>
      </c>
      <c r="C54" s="424">
        <v>30</v>
      </c>
      <c r="D54" s="424">
        <v>36</v>
      </c>
      <c r="E54" s="424">
        <v>343</v>
      </c>
      <c r="F54" s="570">
        <v>1107</v>
      </c>
      <c r="G54" s="571">
        <v>893</v>
      </c>
      <c r="H54" s="571">
        <v>146</v>
      </c>
      <c r="I54" s="572">
        <v>3</v>
      </c>
    </row>
    <row r="55" spans="1:15" ht="15" customHeight="1">
      <c r="B55" s="399"/>
      <c r="C55" s="424"/>
      <c r="D55" s="424"/>
      <c r="E55" s="424"/>
      <c r="F55" s="570"/>
      <c r="G55" s="571"/>
      <c r="H55" s="571"/>
      <c r="I55" s="572"/>
    </row>
    <row r="56" spans="1:15" ht="15" customHeight="1" thickBot="1">
      <c r="B56" s="425" t="s">
        <v>89</v>
      </c>
      <c r="C56" s="426">
        <v>31258</v>
      </c>
      <c r="D56" s="426">
        <v>30820</v>
      </c>
      <c r="E56" s="426">
        <v>31142</v>
      </c>
      <c r="F56" s="576">
        <v>32112</v>
      </c>
      <c r="G56" s="577">
        <v>31153</v>
      </c>
      <c r="H56" s="577">
        <v>29332</v>
      </c>
      <c r="I56" s="578">
        <v>29763</v>
      </c>
    </row>
    <row r="57" spans="1:15" ht="15" customHeight="1">
      <c r="G57" s="415"/>
      <c r="H57" s="415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3" fitToHeight="0" orientation="portrait" r:id="rId1"/>
  <headerFooter alignWithMargins="0">
    <oddHeader>&amp;CNovember 9, 2017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4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2" max="2" width="43.7109375" style="83" customWidth="1"/>
    <col min="3" max="11" width="13.7109375" style="83" customWidth="1"/>
    <col min="12" max="14" width="11.42578125" style="7"/>
    <col min="15" max="15" width="44.42578125" style="7" bestFit="1" customWidth="1"/>
    <col min="16" max="16384" width="11.42578125" style="7"/>
  </cols>
  <sheetData>
    <row r="1" spans="1:15" s="594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90"/>
      <c r="M1" s="590"/>
      <c r="N1" s="590"/>
      <c r="O1" s="590"/>
    </row>
    <row r="2" spans="1:15" s="594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90"/>
      <c r="M2" s="590"/>
      <c r="N2" s="590"/>
      <c r="O2" s="590"/>
    </row>
    <row r="3" spans="1:15" s="594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90"/>
      <c r="M3" s="590"/>
      <c r="N3" s="590"/>
      <c r="O3" s="590"/>
    </row>
    <row r="4" spans="1:15" ht="15.75" thickBot="1">
      <c r="B4" s="419" t="s">
        <v>499</v>
      </c>
      <c r="C4" s="419"/>
      <c r="D4" s="419"/>
      <c r="E4" s="419"/>
      <c r="F4" s="419"/>
      <c r="G4" s="419"/>
      <c r="H4" s="419"/>
      <c r="I4" s="419"/>
      <c r="J4" s="419"/>
      <c r="K4" s="419"/>
      <c r="L4" s="412"/>
      <c r="M4" s="412"/>
      <c r="N4" s="412"/>
      <c r="O4" s="412"/>
    </row>
    <row r="5" spans="1:15">
      <c r="B5" s="420" t="s">
        <v>287</v>
      </c>
      <c r="C5" s="421"/>
      <c r="D5" s="421"/>
      <c r="E5" s="421"/>
      <c r="F5" s="421"/>
      <c r="G5" s="421"/>
      <c r="H5" s="421"/>
      <c r="I5" s="421"/>
      <c r="J5" s="421"/>
      <c r="K5" s="421"/>
      <c r="L5" s="412"/>
      <c r="M5" s="412"/>
      <c r="N5" s="412"/>
      <c r="O5" s="412"/>
    </row>
    <row r="6" spans="1:15" ht="45.75" thickBot="1">
      <c r="B6" s="514" t="s">
        <v>501</v>
      </c>
      <c r="C6" s="515" t="s">
        <v>129</v>
      </c>
      <c r="D6" s="515" t="s">
        <v>109</v>
      </c>
      <c r="E6" s="515" t="s">
        <v>127</v>
      </c>
      <c r="F6" s="515" t="s">
        <v>110</v>
      </c>
      <c r="G6" s="515" t="s">
        <v>503</v>
      </c>
      <c r="H6" s="515" t="s">
        <v>111</v>
      </c>
      <c r="I6" s="515" t="s">
        <v>128</v>
      </c>
      <c r="J6" s="515" t="s">
        <v>75</v>
      </c>
      <c r="K6" s="515" t="s">
        <v>130</v>
      </c>
      <c r="L6" s="412"/>
      <c r="M6" s="412"/>
      <c r="N6" s="412"/>
      <c r="O6" s="412"/>
    </row>
    <row r="7" spans="1:15" ht="15" customHeight="1">
      <c r="B7" s="401" t="s">
        <v>420</v>
      </c>
      <c r="C7" s="516">
        <v>327</v>
      </c>
      <c r="D7" s="516">
        <v>1500</v>
      </c>
      <c r="E7" s="516">
        <v>2231</v>
      </c>
      <c r="F7" s="516">
        <v>8613</v>
      </c>
      <c r="G7" s="516">
        <v>-989</v>
      </c>
      <c r="H7" s="516">
        <v>-10</v>
      </c>
      <c r="I7" s="516">
        <v>11672</v>
      </c>
      <c r="J7" s="516">
        <v>2626</v>
      </c>
      <c r="K7" s="516">
        <v>14298</v>
      </c>
      <c r="L7" s="412"/>
      <c r="M7" s="412"/>
      <c r="N7" s="412"/>
      <c r="O7" s="412"/>
    </row>
    <row r="8" spans="1:15" ht="15" customHeight="1">
      <c r="B8" s="399" t="s">
        <v>32</v>
      </c>
      <c r="C8" s="462"/>
      <c r="D8" s="462"/>
      <c r="E8" s="462"/>
      <c r="F8" s="462">
        <v>-301</v>
      </c>
      <c r="G8" s="462"/>
      <c r="H8" s="462"/>
      <c r="I8" s="462">
        <v>-301</v>
      </c>
      <c r="J8" s="462">
        <v>118</v>
      </c>
      <c r="K8" s="462">
        <v>-183</v>
      </c>
      <c r="L8" s="412"/>
      <c r="M8" s="412"/>
      <c r="N8" s="412"/>
      <c r="O8" s="412"/>
    </row>
    <row r="9" spans="1:15" ht="15" customHeight="1">
      <c r="B9" s="399" t="s">
        <v>126</v>
      </c>
      <c r="C9" s="462"/>
      <c r="D9" s="462"/>
      <c r="E9" s="462"/>
      <c r="F9" s="462">
        <v>-66</v>
      </c>
      <c r="G9" s="462">
        <v>-142</v>
      </c>
      <c r="H9" s="462"/>
      <c r="I9" s="462">
        <v>-208</v>
      </c>
      <c r="J9" s="462">
        <v>-12</v>
      </c>
      <c r="K9" s="462">
        <v>-220</v>
      </c>
      <c r="L9" s="412"/>
      <c r="M9" s="412"/>
      <c r="N9" s="412"/>
      <c r="O9" s="412"/>
    </row>
    <row r="10" spans="1:15" s="398" customFormat="1" ht="15" customHeight="1">
      <c r="A10"/>
      <c r="B10" s="401" t="s">
        <v>56</v>
      </c>
      <c r="C10" s="516"/>
      <c r="D10" s="516"/>
      <c r="E10" s="516"/>
      <c r="F10" s="516">
        <v>-366</v>
      </c>
      <c r="G10" s="516">
        <v>-142</v>
      </c>
      <c r="H10" s="516"/>
      <c r="I10" s="516">
        <v>-508</v>
      </c>
      <c r="J10" s="516">
        <v>105</v>
      </c>
      <c r="K10" s="516">
        <v>-403</v>
      </c>
      <c r="L10" s="414"/>
      <c r="M10" s="414"/>
      <c r="N10" s="414"/>
      <c r="O10" s="414"/>
    </row>
    <row r="11" spans="1:15" ht="15" customHeight="1">
      <c r="B11" s="399" t="s">
        <v>145</v>
      </c>
      <c r="C11" s="462"/>
      <c r="D11" s="462"/>
      <c r="E11" s="462"/>
      <c r="F11" s="462"/>
      <c r="G11" s="462"/>
      <c r="H11" s="462"/>
      <c r="I11" s="462"/>
      <c r="J11" s="462"/>
      <c r="K11" s="462"/>
      <c r="L11" s="412"/>
      <c r="M11" s="412"/>
      <c r="N11" s="412"/>
      <c r="O11" s="412"/>
    </row>
    <row r="12" spans="1:15" ht="15" customHeight="1">
      <c r="B12" s="399" t="s">
        <v>137</v>
      </c>
      <c r="C12" s="462"/>
      <c r="D12" s="462"/>
      <c r="E12" s="462"/>
      <c r="F12" s="462">
        <v>-464</v>
      </c>
      <c r="G12" s="462"/>
      <c r="H12" s="462"/>
      <c r="I12" s="462">
        <v>-464</v>
      </c>
      <c r="J12" s="462">
        <v>-2</v>
      </c>
      <c r="K12" s="462">
        <v>-466</v>
      </c>
      <c r="L12" s="412"/>
      <c r="M12" s="412"/>
      <c r="N12" s="412"/>
      <c r="O12" s="412"/>
    </row>
    <row r="13" spans="1:15" ht="15" customHeight="1">
      <c r="B13" s="399" t="s">
        <v>112</v>
      </c>
      <c r="C13" s="462"/>
      <c r="D13" s="462"/>
      <c r="E13" s="462"/>
      <c r="F13" s="462"/>
      <c r="G13" s="462"/>
      <c r="H13" s="462"/>
      <c r="I13" s="462"/>
      <c r="J13" s="462"/>
      <c r="K13" s="462"/>
      <c r="L13" s="412"/>
      <c r="M13" s="412"/>
      <c r="N13" s="412"/>
      <c r="O13" s="412"/>
    </row>
    <row r="14" spans="1:15" ht="15" customHeight="1">
      <c r="B14" s="399" t="s">
        <v>139</v>
      </c>
      <c r="C14" s="462"/>
      <c r="D14" s="462">
        <v>1</v>
      </c>
      <c r="E14" s="462"/>
      <c r="F14" s="462"/>
      <c r="G14" s="462"/>
      <c r="H14" s="462">
        <v>1</v>
      </c>
      <c r="I14" s="462">
        <v>2</v>
      </c>
      <c r="J14" s="462"/>
      <c r="K14" s="462">
        <v>2</v>
      </c>
      <c r="L14" s="412"/>
      <c r="M14" s="412"/>
      <c r="N14" s="412"/>
      <c r="O14" s="412"/>
    </row>
    <row r="15" spans="1:15" ht="15" customHeight="1">
      <c r="B15" s="399" t="s">
        <v>138</v>
      </c>
      <c r="C15" s="462"/>
      <c r="D15" s="462">
        <v>6</v>
      </c>
      <c r="E15" s="462"/>
      <c r="F15" s="462">
        <v>1</v>
      </c>
      <c r="G15" s="462"/>
      <c r="H15" s="462"/>
      <c r="I15" s="462">
        <v>7</v>
      </c>
      <c r="J15" s="462"/>
      <c r="K15" s="462">
        <v>7</v>
      </c>
      <c r="L15" s="412"/>
      <c r="M15" s="412"/>
      <c r="N15" s="412"/>
      <c r="O15" s="412"/>
    </row>
    <row r="16" spans="1:15" ht="15" customHeight="1">
      <c r="B16" s="399" t="s">
        <v>113</v>
      </c>
      <c r="C16" s="462"/>
      <c r="D16" s="462"/>
      <c r="E16" s="462"/>
      <c r="F16" s="462">
        <v>206</v>
      </c>
      <c r="G16" s="462"/>
      <c r="H16" s="462"/>
      <c r="I16" s="462">
        <v>206</v>
      </c>
      <c r="J16" s="462">
        <v>280</v>
      </c>
      <c r="K16" s="462">
        <v>486</v>
      </c>
      <c r="L16" s="412"/>
      <c r="M16" s="412"/>
      <c r="N16" s="412"/>
      <c r="O16" s="412"/>
    </row>
    <row r="17" spans="2:15" ht="15" customHeight="1" thickBot="1">
      <c r="B17" s="517" t="s">
        <v>479</v>
      </c>
      <c r="C17" s="518">
        <v>327</v>
      </c>
      <c r="D17" s="518">
        <v>1507</v>
      </c>
      <c r="E17" s="518">
        <v>2231</v>
      </c>
      <c r="F17" s="518">
        <v>7990</v>
      </c>
      <c r="G17" s="518">
        <v>-1131</v>
      </c>
      <c r="H17" s="518">
        <v>-9</v>
      </c>
      <c r="I17" s="518">
        <v>10915</v>
      </c>
      <c r="J17" s="518">
        <v>3011</v>
      </c>
      <c r="K17" s="518">
        <v>13925</v>
      </c>
      <c r="L17" s="412"/>
      <c r="M17" s="412"/>
      <c r="N17" s="412"/>
      <c r="O17" s="412"/>
    </row>
    <row r="18" spans="2:15" ht="15.75" thickBot="1">
      <c r="B18" s="519" t="s">
        <v>538</v>
      </c>
      <c r="C18" s="520"/>
      <c r="D18" s="520"/>
      <c r="E18" s="520"/>
      <c r="F18" s="520"/>
      <c r="G18" s="520"/>
      <c r="H18" s="520"/>
      <c r="I18" s="520"/>
      <c r="J18" s="520"/>
      <c r="K18" s="520"/>
      <c r="L18" s="412"/>
      <c r="M18" s="412"/>
      <c r="N18" s="412"/>
      <c r="O18" s="412"/>
    </row>
    <row r="19" spans="2:15">
      <c r="B19" s="401" t="s">
        <v>500</v>
      </c>
      <c r="C19" s="516">
        <v>327</v>
      </c>
      <c r="D19" s="516">
        <v>1507</v>
      </c>
      <c r="E19" s="516">
        <v>2231</v>
      </c>
      <c r="F19" s="516">
        <v>7990</v>
      </c>
      <c r="G19" s="516">
        <v>-1131</v>
      </c>
      <c r="H19" s="516">
        <v>-9</v>
      </c>
      <c r="I19" s="516">
        <v>10915</v>
      </c>
      <c r="J19" s="516">
        <v>3010</v>
      </c>
      <c r="K19" s="516">
        <v>13925</v>
      </c>
      <c r="L19" s="412"/>
      <c r="M19" s="412"/>
      <c r="N19" s="412"/>
      <c r="O19" s="412"/>
    </row>
    <row r="20" spans="2:15">
      <c r="B20" s="399" t="s">
        <v>32</v>
      </c>
      <c r="C20" s="462"/>
      <c r="D20" s="462"/>
      <c r="E20" s="462"/>
      <c r="F20" s="462">
        <v>201</v>
      </c>
      <c r="G20" s="462"/>
      <c r="H20" s="462"/>
      <c r="I20" s="462">
        <v>201</v>
      </c>
      <c r="J20" s="462">
        <v>231</v>
      </c>
      <c r="K20" s="462">
        <v>432</v>
      </c>
      <c r="L20" s="412"/>
      <c r="M20" s="412"/>
      <c r="N20" s="412"/>
      <c r="O20" s="412"/>
    </row>
    <row r="21" spans="2:15">
      <c r="B21" s="399" t="s">
        <v>126</v>
      </c>
      <c r="C21" s="462"/>
      <c r="D21" s="462"/>
      <c r="E21" s="462"/>
      <c r="F21" s="462">
        <v>0</v>
      </c>
      <c r="G21" s="462">
        <v>498</v>
      </c>
      <c r="H21" s="462"/>
      <c r="I21" s="462">
        <v>497</v>
      </c>
      <c r="J21" s="462">
        <v>-31</v>
      </c>
      <c r="K21" s="462">
        <v>466</v>
      </c>
      <c r="L21" s="412"/>
      <c r="M21" s="412"/>
      <c r="N21" s="412"/>
      <c r="O21" s="412"/>
    </row>
    <row r="22" spans="2:15" ht="15" customHeight="1">
      <c r="B22" s="401" t="s">
        <v>56</v>
      </c>
      <c r="C22" s="516"/>
      <c r="D22" s="516"/>
      <c r="E22" s="516"/>
      <c r="F22" s="516">
        <v>200</v>
      </c>
      <c r="G22" s="516">
        <v>498</v>
      </c>
      <c r="H22" s="516"/>
      <c r="I22" s="516">
        <v>698</v>
      </c>
      <c r="J22" s="516">
        <v>200</v>
      </c>
      <c r="K22" s="516">
        <v>898</v>
      </c>
      <c r="L22" s="412"/>
      <c r="M22" s="412"/>
      <c r="N22" s="412"/>
      <c r="O22" s="412"/>
    </row>
    <row r="23" spans="2:15" ht="15" customHeight="1">
      <c r="B23" s="399" t="s">
        <v>145</v>
      </c>
      <c r="C23" s="462"/>
      <c r="D23" s="462"/>
      <c r="E23" s="462"/>
      <c r="F23" s="462"/>
      <c r="G23" s="462"/>
      <c r="H23" s="462"/>
      <c r="I23" s="462"/>
      <c r="J23" s="462"/>
      <c r="K23" s="462"/>
      <c r="L23" s="412"/>
      <c r="M23" s="412"/>
      <c r="N23" s="412"/>
      <c r="O23" s="412"/>
    </row>
    <row r="24" spans="2:15" ht="15" customHeight="1">
      <c r="B24" s="399" t="s">
        <v>137</v>
      </c>
      <c r="C24" s="462"/>
      <c r="D24" s="462"/>
      <c r="E24" s="462"/>
      <c r="F24" s="462">
        <v>-442</v>
      </c>
      <c r="G24" s="462"/>
      <c r="H24" s="462"/>
      <c r="I24" s="462">
        <v>-442</v>
      </c>
      <c r="J24" s="462">
        <v>-141</v>
      </c>
      <c r="K24" s="462">
        <v>-584</v>
      </c>
      <c r="L24" s="412"/>
      <c r="M24" s="412"/>
      <c r="N24" s="412"/>
      <c r="O24" s="412"/>
    </row>
    <row r="25" spans="2:15" ht="15" customHeight="1">
      <c r="B25" s="399" t="s">
        <v>112</v>
      </c>
      <c r="C25" s="462"/>
      <c r="D25" s="462"/>
      <c r="E25" s="462"/>
      <c r="F25" s="462"/>
      <c r="G25" s="462"/>
      <c r="H25" s="462"/>
      <c r="I25" s="462"/>
      <c r="J25" s="462"/>
      <c r="K25" s="462"/>
      <c r="L25" s="412"/>
      <c r="M25" s="412"/>
      <c r="N25" s="412"/>
      <c r="O25" s="412"/>
    </row>
    <row r="26" spans="2:15" ht="15" customHeight="1">
      <c r="B26" s="399" t="s">
        <v>139</v>
      </c>
      <c r="C26" s="462"/>
      <c r="D26" s="462">
        <v>1</v>
      </c>
      <c r="E26" s="462"/>
      <c r="F26" s="462"/>
      <c r="G26" s="462"/>
      <c r="H26" s="462">
        <v>1</v>
      </c>
      <c r="I26" s="462">
        <v>2</v>
      </c>
      <c r="J26" s="462"/>
      <c r="K26" s="462">
        <v>2</v>
      </c>
      <c r="L26" s="412"/>
      <c r="M26" s="412"/>
      <c r="N26" s="412"/>
      <c r="O26" s="412"/>
    </row>
    <row r="27" spans="2:15" ht="15" customHeight="1">
      <c r="B27" s="399" t="s">
        <v>138</v>
      </c>
      <c r="C27" s="462"/>
      <c r="D27" s="462">
        <v>6</v>
      </c>
      <c r="E27" s="462"/>
      <c r="F27" s="462"/>
      <c r="G27" s="462"/>
      <c r="H27" s="462"/>
      <c r="I27" s="462">
        <v>6</v>
      </c>
      <c r="J27" s="462"/>
      <c r="K27" s="462">
        <v>6</v>
      </c>
      <c r="L27" s="412"/>
      <c r="M27" s="412"/>
      <c r="N27" s="412"/>
      <c r="O27" s="412"/>
    </row>
    <row r="28" spans="2:15" ht="15" customHeight="1">
      <c r="B28" s="399" t="s">
        <v>113</v>
      </c>
      <c r="C28" s="462"/>
      <c r="D28" s="462"/>
      <c r="E28" s="462"/>
      <c r="F28" s="462"/>
      <c r="G28" s="462"/>
      <c r="H28" s="462"/>
      <c r="I28" s="462"/>
      <c r="J28" s="462"/>
      <c r="K28" s="462"/>
      <c r="L28" s="412"/>
      <c r="M28" s="412"/>
      <c r="N28" s="412"/>
      <c r="O28" s="412"/>
    </row>
    <row r="29" spans="2:15" ht="15" customHeight="1" thickBot="1">
      <c r="B29" s="517" t="s">
        <v>537</v>
      </c>
      <c r="C29" s="518">
        <v>327</v>
      </c>
      <c r="D29" s="518">
        <v>1514</v>
      </c>
      <c r="E29" s="518">
        <v>2231</v>
      </c>
      <c r="F29" s="518">
        <v>7748</v>
      </c>
      <c r="G29" s="518">
        <v>-633</v>
      </c>
      <c r="H29" s="518">
        <v>-8</v>
      </c>
      <c r="I29" s="518">
        <v>11179</v>
      </c>
      <c r="J29" s="518">
        <v>3069</v>
      </c>
      <c r="K29" s="518">
        <v>14247</v>
      </c>
      <c r="L29" s="412"/>
      <c r="M29" s="412"/>
      <c r="N29" s="412"/>
      <c r="O29" s="412"/>
    </row>
    <row r="30" spans="2:15" ht="15" customHeight="1">
      <c r="B30" s="370"/>
      <c r="C30" s="370"/>
      <c r="D30" s="370"/>
      <c r="E30" s="370"/>
      <c r="F30" s="370"/>
      <c r="G30" s="370"/>
      <c r="H30" s="370"/>
      <c r="I30" s="370"/>
      <c r="J30" s="370"/>
      <c r="K30" s="370"/>
      <c r="L30" s="412"/>
      <c r="M30" s="412"/>
      <c r="N30" s="412"/>
      <c r="O30" s="412"/>
    </row>
    <row r="31" spans="2:15" ht="32.25" customHeight="1">
      <c r="B31" s="684" t="s">
        <v>504</v>
      </c>
      <c r="C31" s="684"/>
      <c r="D31" s="684"/>
      <c r="E31" s="684"/>
      <c r="F31" s="684"/>
      <c r="G31" s="684"/>
      <c r="H31" s="684"/>
      <c r="I31" s="684"/>
      <c r="J31" s="684"/>
      <c r="K31" s="684"/>
      <c r="L31" s="413"/>
      <c r="M31" s="413"/>
      <c r="N31" s="412"/>
      <c r="O31" s="412"/>
    </row>
    <row r="32" spans="2:15">
      <c r="B32" s="410"/>
      <c r="C32" s="410"/>
      <c r="D32" s="410"/>
      <c r="E32" s="410"/>
      <c r="F32" s="410"/>
      <c r="G32" s="410"/>
      <c r="H32" s="410"/>
      <c r="I32" s="410"/>
      <c r="J32" s="410"/>
      <c r="K32" s="410"/>
      <c r="L32" s="412"/>
      <c r="M32" s="412"/>
      <c r="N32" s="412"/>
      <c r="O32" s="412"/>
    </row>
    <row r="33" spans="2:15">
      <c r="B33" s="410"/>
      <c r="C33" s="410"/>
      <c r="D33" s="410"/>
      <c r="E33" s="410"/>
      <c r="F33" s="410"/>
      <c r="G33" s="410"/>
      <c r="H33" s="410"/>
      <c r="I33" s="410"/>
      <c r="J33" s="410"/>
      <c r="K33" s="410"/>
      <c r="L33" s="412"/>
      <c r="M33" s="412"/>
      <c r="N33" s="412"/>
      <c r="O33" s="412"/>
    </row>
    <row r="34" spans="2:15">
      <c r="B34" s="410"/>
      <c r="C34" s="410"/>
      <c r="D34" s="410"/>
      <c r="E34" s="410"/>
      <c r="F34" s="410"/>
      <c r="G34" s="410"/>
      <c r="H34" s="410"/>
      <c r="I34" s="410"/>
      <c r="J34" s="410"/>
      <c r="K34" s="410"/>
      <c r="L34" s="412"/>
      <c r="M34" s="412"/>
      <c r="N34" s="412"/>
      <c r="O34" s="412"/>
    </row>
    <row r="35" spans="2:15">
      <c r="B35" s="410"/>
      <c r="C35" s="410"/>
      <c r="D35" s="410"/>
      <c r="E35" s="410"/>
      <c r="F35" s="410"/>
      <c r="G35" s="410"/>
      <c r="H35" s="410"/>
      <c r="I35" s="410"/>
      <c r="J35" s="410"/>
      <c r="K35" s="410"/>
      <c r="L35" s="412"/>
      <c r="M35" s="412"/>
      <c r="N35" s="412"/>
      <c r="O35" s="412"/>
    </row>
    <row r="36" spans="2:15">
      <c r="B36" s="410"/>
      <c r="C36" s="410"/>
      <c r="D36" s="410"/>
      <c r="E36" s="410"/>
      <c r="F36" s="410"/>
      <c r="G36" s="410"/>
      <c r="H36" s="410"/>
      <c r="I36" s="410"/>
      <c r="J36" s="410"/>
      <c r="K36" s="410"/>
      <c r="L36" s="412"/>
      <c r="M36" s="412"/>
      <c r="N36" s="412"/>
      <c r="O36" s="412"/>
    </row>
    <row r="37" spans="2:15">
      <c r="B37" s="410"/>
      <c r="C37" s="410"/>
      <c r="D37" s="410"/>
      <c r="E37" s="410"/>
      <c r="F37" s="410"/>
      <c r="G37" s="410"/>
      <c r="H37" s="410"/>
      <c r="I37" s="410"/>
      <c r="J37" s="410"/>
      <c r="K37" s="410"/>
      <c r="L37" s="412"/>
      <c r="M37" s="412"/>
      <c r="N37" s="412"/>
      <c r="O37" s="412"/>
    </row>
    <row r="38" spans="2:15">
      <c r="B38" s="410"/>
      <c r="C38" s="410"/>
      <c r="D38" s="410"/>
      <c r="E38" s="410"/>
      <c r="F38" s="410"/>
      <c r="G38" s="410"/>
      <c r="H38" s="410"/>
      <c r="I38" s="410"/>
      <c r="J38" s="410"/>
      <c r="K38" s="410"/>
      <c r="L38" s="412"/>
      <c r="M38" s="412"/>
      <c r="N38" s="412"/>
      <c r="O38" s="412"/>
    </row>
    <row r="39" spans="2:15">
      <c r="B39" s="410"/>
      <c r="C39" s="410"/>
      <c r="D39" s="410"/>
      <c r="E39" s="410"/>
      <c r="F39" s="410"/>
      <c r="G39" s="410"/>
      <c r="H39" s="410"/>
      <c r="I39" s="410"/>
      <c r="J39" s="410"/>
      <c r="K39" s="410"/>
      <c r="L39" s="412"/>
      <c r="M39" s="412"/>
      <c r="N39" s="412"/>
      <c r="O39" s="412"/>
    </row>
    <row r="40" spans="2:15">
      <c r="B40" s="410"/>
      <c r="C40" s="410"/>
      <c r="D40" s="410"/>
      <c r="E40" s="410"/>
      <c r="F40" s="410"/>
      <c r="G40" s="410"/>
      <c r="H40" s="410"/>
      <c r="I40" s="410"/>
      <c r="J40" s="410"/>
      <c r="K40" s="410"/>
      <c r="L40" s="412"/>
      <c r="M40" s="412"/>
      <c r="N40" s="412"/>
      <c r="O40" s="412"/>
    </row>
    <row r="41" spans="2:15">
      <c r="B41" s="410"/>
      <c r="C41" s="410"/>
      <c r="D41" s="410"/>
      <c r="E41" s="410"/>
      <c r="F41" s="410"/>
      <c r="G41" s="410"/>
      <c r="H41" s="410"/>
      <c r="I41" s="410"/>
      <c r="J41" s="410"/>
      <c r="K41" s="410"/>
      <c r="L41" s="412"/>
      <c r="M41" s="412"/>
      <c r="N41" s="412"/>
      <c r="O41" s="412"/>
    </row>
    <row r="42" spans="2:15">
      <c r="B42" s="410"/>
      <c r="C42" s="410"/>
      <c r="D42" s="410"/>
      <c r="E42" s="410"/>
      <c r="F42" s="410"/>
      <c r="G42" s="410"/>
      <c r="H42" s="410"/>
      <c r="I42" s="410"/>
      <c r="J42" s="410"/>
      <c r="K42" s="410"/>
      <c r="L42" s="412"/>
      <c r="M42" s="412"/>
      <c r="N42" s="412"/>
      <c r="O42" s="412"/>
    </row>
    <row r="43" spans="2:15">
      <c r="B43" s="410"/>
      <c r="C43" s="410"/>
      <c r="D43" s="410"/>
      <c r="E43" s="410"/>
      <c r="F43" s="410"/>
      <c r="G43" s="410"/>
      <c r="H43" s="410"/>
      <c r="I43" s="410"/>
      <c r="J43" s="410"/>
      <c r="K43" s="410"/>
      <c r="L43" s="412"/>
      <c r="M43" s="412"/>
      <c r="N43" s="412"/>
      <c r="O43" s="412"/>
    </row>
    <row r="44" spans="2:15">
      <c r="B44" s="410"/>
      <c r="C44" s="410"/>
      <c r="D44" s="410"/>
      <c r="E44" s="410"/>
      <c r="F44" s="410"/>
      <c r="G44" s="410"/>
      <c r="H44" s="410"/>
      <c r="I44" s="410"/>
      <c r="J44" s="410"/>
      <c r="K44" s="410"/>
      <c r="L44" s="412"/>
      <c r="M44" s="412"/>
      <c r="N44" s="412"/>
      <c r="O44" s="412"/>
    </row>
    <row r="45" spans="2:15">
      <c r="B45" s="410"/>
      <c r="C45" s="410"/>
      <c r="D45" s="410"/>
      <c r="E45" s="410"/>
      <c r="F45" s="410"/>
      <c r="G45" s="410"/>
      <c r="H45" s="410"/>
      <c r="I45" s="410"/>
      <c r="J45" s="410"/>
      <c r="K45" s="410"/>
      <c r="L45" s="412"/>
      <c r="M45" s="412"/>
      <c r="N45" s="412"/>
      <c r="O45" s="412"/>
    </row>
    <row r="46" spans="2:15">
      <c r="B46" s="410"/>
      <c r="C46" s="410"/>
      <c r="D46" s="410"/>
      <c r="E46" s="410"/>
      <c r="F46" s="410"/>
      <c r="G46" s="410"/>
      <c r="H46" s="410"/>
      <c r="I46" s="410"/>
      <c r="J46" s="410"/>
      <c r="K46" s="410"/>
      <c r="L46" s="412"/>
      <c r="M46" s="412"/>
      <c r="N46" s="412"/>
      <c r="O46" s="412"/>
    </row>
    <row r="47" spans="2:15">
      <c r="B47" s="410"/>
      <c r="C47" s="410"/>
      <c r="D47" s="410"/>
      <c r="E47" s="410"/>
      <c r="F47" s="410"/>
      <c r="G47" s="410"/>
      <c r="H47" s="410"/>
      <c r="I47" s="410"/>
      <c r="J47" s="410"/>
      <c r="K47" s="410"/>
      <c r="L47" s="412"/>
      <c r="M47" s="412"/>
      <c r="N47" s="412"/>
      <c r="O47" s="412"/>
    </row>
    <row r="48" spans="2:15">
      <c r="B48" s="410"/>
      <c r="C48" s="410"/>
      <c r="D48" s="410"/>
      <c r="E48" s="410"/>
      <c r="F48" s="410"/>
      <c r="G48" s="410"/>
      <c r="H48" s="410"/>
      <c r="I48" s="410"/>
      <c r="J48" s="410"/>
      <c r="K48" s="410"/>
      <c r="L48" s="412"/>
      <c r="M48" s="412"/>
      <c r="N48" s="412"/>
      <c r="O48" s="412"/>
    </row>
    <row r="49" spans="2:15">
      <c r="B49" s="410"/>
      <c r="C49" s="410"/>
      <c r="D49" s="410"/>
      <c r="E49" s="410"/>
      <c r="F49" s="410"/>
      <c r="G49" s="410"/>
      <c r="H49" s="410"/>
      <c r="I49" s="410"/>
      <c r="J49" s="410"/>
      <c r="K49" s="410"/>
      <c r="L49" s="412"/>
      <c r="M49" s="412"/>
      <c r="N49" s="412"/>
      <c r="O49" s="412"/>
    </row>
    <row r="50" spans="2:15">
      <c r="B50" s="410"/>
      <c r="C50" s="410"/>
      <c r="D50" s="410"/>
      <c r="E50" s="410"/>
      <c r="F50" s="410"/>
      <c r="G50" s="410"/>
      <c r="H50" s="410"/>
      <c r="I50" s="410"/>
      <c r="J50" s="410"/>
      <c r="K50" s="410"/>
      <c r="L50" s="412"/>
      <c r="M50" s="412"/>
      <c r="N50" s="412"/>
      <c r="O50" s="412"/>
    </row>
    <row r="51" spans="2:15">
      <c r="B51" s="410"/>
      <c r="C51" s="410"/>
      <c r="D51" s="410"/>
      <c r="E51" s="410"/>
      <c r="F51" s="410"/>
      <c r="G51" s="410"/>
      <c r="H51" s="410"/>
      <c r="I51" s="410"/>
      <c r="J51" s="410"/>
      <c r="K51" s="410"/>
      <c r="L51" s="412"/>
      <c r="M51" s="412"/>
      <c r="N51" s="412"/>
      <c r="O51" s="412"/>
    </row>
    <row r="52" spans="2:15">
      <c r="B52" s="410"/>
      <c r="C52" s="410"/>
      <c r="D52" s="410"/>
      <c r="E52" s="410"/>
      <c r="F52" s="410"/>
      <c r="G52" s="410"/>
      <c r="H52" s="410"/>
      <c r="I52" s="410"/>
      <c r="J52" s="410"/>
      <c r="K52" s="410"/>
      <c r="L52" s="412"/>
      <c r="M52" s="412"/>
      <c r="N52" s="412"/>
      <c r="O52" s="412"/>
    </row>
    <row r="53" spans="2:15">
      <c r="B53" s="410"/>
      <c r="C53" s="410"/>
      <c r="D53" s="410"/>
      <c r="E53" s="410"/>
      <c r="F53" s="410"/>
      <c r="G53" s="410"/>
      <c r="H53" s="410"/>
      <c r="I53" s="410"/>
      <c r="J53" s="410"/>
      <c r="K53" s="410"/>
      <c r="L53" s="412"/>
      <c r="M53" s="412"/>
      <c r="N53" s="412"/>
      <c r="O53" s="412"/>
    </row>
    <row r="54" spans="2:15">
      <c r="B54" s="410"/>
      <c r="C54" s="410"/>
      <c r="D54" s="410"/>
      <c r="E54" s="410"/>
      <c r="F54" s="410"/>
      <c r="G54" s="410"/>
      <c r="H54" s="410"/>
      <c r="I54" s="410"/>
      <c r="J54" s="410"/>
      <c r="K54" s="410"/>
      <c r="L54" s="412"/>
      <c r="M54" s="412"/>
      <c r="N54" s="412"/>
      <c r="O54" s="412"/>
    </row>
  </sheetData>
  <mergeCells count="1">
    <mergeCell ref="B31:K31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59" fitToHeight="0" orientation="portrait" r:id="rId1"/>
  <headerFooter alignWithMargins="0">
    <oddHeader>&amp;CNovember 9, 2017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Y43"/>
  <sheetViews>
    <sheetView view="pageBreakPreview" zoomScaleNormal="7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78.85546875" style="410" customWidth="1"/>
    <col min="3" max="10" width="10.7109375" style="410" customWidth="1"/>
    <col min="11" max="25" width="11.42578125" style="412"/>
    <col min="26" max="16384" width="11.42578125" style="6"/>
  </cols>
  <sheetData>
    <row r="1" spans="1:25" s="593" customFormat="1" ht="30" customHeight="1">
      <c r="A1"/>
      <c r="B1" s="587" t="s">
        <v>120</v>
      </c>
      <c r="C1" s="589"/>
      <c r="D1" s="589"/>
      <c r="E1" s="589"/>
      <c r="F1" s="589"/>
      <c r="G1" s="589"/>
      <c r="H1" s="589"/>
      <c r="I1" s="589"/>
      <c r="J1" s="589"/>
      <c r="K1" s="590"/>
      <c r="L1" s="590"/>
      <c r="M1" s="590"/>
      <c r="N1" s="590"/>
      <c r="O1" s="590"/>
      <c r="P1" s="590"/>
      <c r="Q1" s="590"/>
      <c r="R1" s="590"/>
      <c r="S1" s="590"/>
      <c r="T1" s="590"/>
      <c r="U1" s="590"/>
      <c r="V1" s="590"/>
      <c r="W1" s="590"/>
      <c r="X1" s="590"/>
      <c r="Y1" s="590"/>
    </row>
    <row r="2" spans="1:25" s="594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90"/>
      <c r="M2" s="590"/>
      <c r="N2" s="590"/>
      <c r="O2" s="590"/>
    </row>
    <row r="3" spans="1:25" s="593" customFormat="1" ht="15.75">
      <c r="A3"/>
      <c r="B3" s="587"/>
      <c r="C3" s="589"/>
      <c r="D3" s="589"/>
      <c r="E3" s="589"/>
      <c r="F3" s="589"/>
      <c r="G3" s="589"/>
      <c r="H3" s="589"/>
      <c r="I3" s="589"/>
      <c r="J3" s="589"/>
      <c r="K3" s="590"/>
      <c r="L3" s="590"/>
      <c r="M3" s="590"/>
      <c r="N3" s="590"/>
      <c r="O3" s="590"/>
      <c r="P3" s="590"/>
      <c r="Q3" s="590"/>
      <c r="R3" s="590"/>
      <c r="S3" s="590"/>
      <c r="T3" s="590"/>
      <c r="U3" s="590"/>
      <c r="V3" s="590"/>
      <c r="W3" s="590"/>
      <c r="X3" s="590"/>
      <c r="Y3" s="590"/>
    </row>
    <row r="4" spans="1:25" ht="15" customHeight="1" thickBot="1">
      <c r="B4" s="419" t="s">
        <v>502</v>
      </c>
      <c r="C4" s="419"/>
      <c r="D4" s="419"/>
      <c r="E4" s="419"/>
      <c r="F4" s="419"/>
      <c r="G4" s="419"/>
      <c r="H4" s="419"/>
      <c r="I4" s="419"/>
      <c r="J4" s="419"/>
    </row>
    <row r="5" spans="1:25" ht="15" customHeight="1">
      <c r="B5" s="421" t="s">
        <v>287</v>
      </c>
      <c r="C5" s="421"/>
      <c r="D5" s="421"/>
      <c r="E5" s="421"/>
      <c r="F5" s="421"/>
      <c r="G5" s="421"/>
      <c r="H5" s="421"/>
      <c r="I5" s="421"/>
      <c r="J5" s="421"/>
    </row>
    <row r="6" spans="1:25" ht="15.75" thickBot="1">
      <c r="B6" s="427"/>
      <c r="C6" s="428" t="s">
        <v>454</v>
      </c>
      <c r="D6" s="428" t="s">
        <v>455</v>
      </c>
      <c r="E6" s="428" t="s">
        <v>456</v>
      </c>
      <c r="F6" s="428" t="s">
        <v>457</v>
      </c>
      <c r="G6" s="523">
        <v>2016</v>
      </c>
      <c r="H6" s="423" t="s">
        <v>458</v>
      </c>
      <c r="I6" s="423" t="s">
        <v>459</v>
      </c>
      <c r="J6" s="523" t="s">
        <v>540</v>
      </c>
    </row>
    <row r="7" spans="1:25" ht="15" customHeight="1">
      <c r="B7" s="401" t="s">
        <v>32</v>
      </c>
      <c r="C7" s="473">
        <v>136</v>
      </c>
      <c r="D7" s="473">
        <v>-117</v>
      </c>
      <c r="E7" s="473">
        <v>129</v>
      </c>
      <c r="F7" s="473">
        <v>-331</v>
      </c>
      <c r="G7" s="444">
        <v>-183</v>
      </c>
      <c r="H7" s="473">
        <v>816</v>
      </c>
      <c r="I7" s="473">
        <v>-928</v>
      </c>
      <c r="J7" s="444">
        <v>544</v>
      </c>
    </row>
    <row r="8" spans="1:25" ht="15" customHeight="1">
      <c r="B8" s="399" t="s">
        <v>218</v>
      </c>
      <c r="C8" s="424">
        <v>536</v>
      </c>
      <c r="D8" s="424">
        <v>1157</v>
      </c>
      <c r="E8" s="424">
        <v>899</v>
      </c>
      <c r="F8" s="424">
        <v>1192</v>
      </c>
      <c r="G8" s="443">
        <v>3784</v>
      </c>
      <c r="H8" s="424">
        <v>446</v>
      </c>
      <c r="I8" s="424">
        <v>521</v>
      </c>
      <c r="J8" s="443">
        <v>489</v>
      </c>
    </row>
    <row r="9" spans="1:25" ht="15" customHeight="1">
      <c r="B9" s="399" t="s">
        <v>63</v>
      </c>
      <c r="C9" s="424">
        <v>-59</v>
      </c>
      <c r="D9" s="424">
        <v>-147</v>
      </c>
      <c r="E9" s="424">
        <v>18</v>
      </c>
      <c r="F9" s="424">
        <v>10</v>
      </c>
      <c r="G9" s="443">
        <v>-178</v>
      </c>
      <c r="H9" s="424">
        <v>63</v>
      </c>
      <c r="I9" s="424">
        <v>37</v>
      </c>
      <c r="J9" s="443">
        <v>26</v>
      </c>
    </row>
    <row r="10" spans="1:25" ht="15" customHeight="1">
      <c r="B10" s="399" t="s">
        <v>90</v>
      </c>
      <c r="C10" s="424">
        <v>0</v>
      </c>
      <c r="D10" s="424">
        <v>-15</v>
      </c>
      <c r="E10" s="424">
        <v>-4</v>
      </c>
      <c r="F10" s="424">
        <v>-63</v>
      </c>
      <c r="G10" s="443">
        <v>-81</v>
      </c>
      <c r="H10" s="424">
        <v>0</v>
      </c>
      <c r="I10" s="424">
        <v>-2</v>
      </c>
      <c r="J10" s="443">
        <v>-9</v>
      </c>
    </row>
    <row r="11" spans="1:25" ht="15" customHeight="1">
      <c r="B11" s="399" t="s">
        <v>91</v>
      </c>
      <c r="C11" s="424">
        <v>10</v>
      </c>
      <c r="D11" s="424">
        <v>-36</v>
      </c>
      <c r="E11" s="424">
        <v>-27</v>
      </c>
      <c r="F11" s="424">
        <v>27</v>
      </c>
      <c r="G11" s="443">
        <v>-25</v>
      </c>
      <c r="H11" s="424">
        <v>4</v>
      </c>
      <c r="I11" s="424">
        <v>-5</v>
      </c>
      <c r="J11" s="443">
        <v>-28</v>
      </c>
    </row>
    <row r="12" spans="1:25" ht="15" customHeight="1">
      <c r="B12" s="399" t="s">
        <v>92</v>
      </c>
      <c r="C12" s="424">
        <v>29</v>
      </c>
      <c r="D12" s="424">
        <v>-152</v>
      </c>
      <c r="E12" s="424">
        <v>-210</v>
      </c>
      <c r="F12" s="424">
        <v>42</v>
      </c>
      <c r="G12" s="443">
        <v>-290</v>
      </c>
      <c r="H12" s="424">
        <v>-137</v>
      </c>
      <c r="I12" s="424">
        <v>1143</v>
      </c>
      <c r="J12" s="443">
        <v>-33</v>
      </c>
    </row>
    <row r="13" spans="1:25" s="389" customFormat="1" ht="15" customHeight="1">
      <c r="A13"/>
      <c r="B13" s="401" t="s">
        <v>93</v>
      </c>
      <c r="C13" s="473">
        <v>653</v>
      </c>
      <c r="D13" s="473">
        <v>691</v>
      </c>
      <c r="E13" s="473">
        <v>806</v>
      </c>
      <c r="F13" s="473">
        <v>877</v>
      </c>
      <c r="G13" s="444">
        <v>3026</v>
      </c>
      <c r="H13" s="473">
        <v>1192</v>
      </c>
      <c r="I13" s="473">
        <v>766</v>
      </c>
      <c r="J13" s="444">
        <v>989</v>
      </c>
      <c r="K13" s="414"/>
      <c r="L13" s="414"/>
      <c r="M13" s="414"/>
      <c r="N13" s="414"/>
      <c r="O13" s="414"/>
      <c r="P13" s="414"/>
      <c r="Q13" s="414"/>
      <c r="R13" s="414"/>
      <c r="S13" s="414"/>
      <c r="T13" s="414"/>
      <c r="U13" s="414"/>
      <c r="V13" s="414"/>
      <c r="W13" s="414"/>
      <c r="X13" s="414"/>
      <c r="Y13" s="414"/>
    </row>
    <row r="14" spans="1:25" ht="15" customHeight="1">
      <c r="B14" s="399" t="s">
        <v>94</v>
      </c>
      <c r="C14" s="424">
        <v>258</v>
      </c>
      <c r="D14" s="424">
        <v>-124</v>
      </c>
      <c r="E14" s="424">
        <v>-45</v>
      </c>
      <c r="F14" s="424">
        <v>-198</v>
      </c>
      <c r="G14" s="443">
        <v>-110</v>
      </c>
      <c r="H14" s="424">
        <v>158</v>
      </c>
      <c r="I14" s="424">
        <v>109</v>
      </c>
      <c r="J14" s="443">
        <v>-228</v>
      </c>
    </row>
    <row r="15" spans="1:25" ht="15" customHeight="1">
      <c r="B15" s="399" t="s">
        <v>95</v>
      </c>
      <c r="C15" s="424">
        <v>-35</v>
      </c>
      <c r="D15" s="424">
        <v>-59</v>
      </c>
      <c r="E15" s="424">
        <v>-145</v>
      </c>
      <c r="F15" s="424">
        <v>-600</v>
      </c>
      <c r="G15" s="443">
        <v>-840</v>
      </c>
      <c r="H15" s="424">
        <v>-59</v>
      </c>
      <c r="I15" s="424">
        <v>532</v>
      </c>
      <c r="J15" s="443">
        <v>-76</v>
      </c>
    </row>
    <row r="16" spans="1:25" ht="15" customHeight="1">
      <c r="B16" s="399" t="s">
        <v>96</v>
      </c>
      <c r="C16" s="424">
        <v>-259</v>
      </c>
      <c r="D16" s="424">
        <v>499</v>
      </c>
      <c r="E16" s="424">
        <v>24</v>
      </c>
      <c r="F16" s="424">
        <v>482</v>
      </c>
      <c r="G16" s="443">
        <v>747</v>
      </c>
      <c r="H16" s="424">
        <v>-344</v>
      </c>
      <c r="I16" s="424">
        <v>-378</v>
      </c>
      <c r="J16" s="443">
        <v>120</v>
      </c>
    </row>
    <row r="17" spans="1:25" ht="15" customHeight="1">
      <c r="B17" s="399" t="s">
        <v>97</v>
      </c>
      <c r="C17" s="424">
        <v>-37</v>
      </c>
      <c r="D17" s="424">
        <v>29</v>
      </c>
      <c r="E17" s="424">
        <v>12</v>
      </c>
      <c r="F17" s="424">
        <v>50</v>
      </c>
      <c r="G17" s="443">
        <v>54</v>
      </c>
      <c r="H17" s="424">
        <v>-25</v>
      </c>
      <c r="I17" s="424">
        <v>-38</v>
      </c>
      <c r="J17" s="443">
        <v>-14</v>
      </c>
    </row>
    <row r="18" spans="1:25" ht="15" customHeight="1">
      <c r="B18" s="401" t="s">
        <v>8</v>
      </c>
      <c r="C18" s="473">
        <v>579</v>
      </c>
      <c r="D18" s="473">
        <v>1036</v>
      </c>
      <c r="E18" s="473">
        <v>652</v>
      </c>
      <c r="F18" s="473">
        <v>611</v>
      </c>
      <c r="G18" s="444">
        <v>2878</v>
      </c>
      <c r="H18" s="473">
        <v>923</v>
      </c>
      <c r="I18" s="473">
        <v>991</v>
      </c>
      <c r="J18" s="444">
        <v>792</v>
      </c>
    </row>
    <row r="19" spans="1:25" ht="15" customHeight="1">
      <c r="B19" s="401" t="s">
        <v>98</v>
      </c>
      <c r="C19" s="473"/>
      <c r="D19" s="473"/>
      <c r="E19" s="473"/>
      <c r="F19" s="473"/>
      <c r="G19" s="444"/>
      <c r="H19" s="473"/>
      <c r="I19" s="473"/>
      <c r="J19" s="444">
        <v>0</v>
      </c>
    </row>
    <row r="20" spans="1:25" ht="15" customHeight="1">
      <c r="B20" s="399" t="s">
        <v>99</v>
      </c>
      <c r="C20" s="424">
        <v>-717</v>
      </c>
      <c r="D20" s="424">
        <v>-473</v>
      </c>
      <c r="E20" s="424">
        <v>-432</v>
      </c>
      <c r="F20" s="424">
        <v>-400</v>
      </c>
      <c r="G20" s="443">
        <v>-2022</v>
      </c>
      <c r="H20" s="424">
        <v>-426</v>
      </c>
      <c r="I20" s="424">
        <v>-333</v>
      </c>
      <c r="J20" s="443">
        <v>-318</v>
      </c>
    </row>
    <row r="21" spans="1:25" ht="14.25" customHeight="1">
      <c r="B21" s="399" t="s">
        <v>406</v>
      </c>
      <c r="C21" s="424">
        <v>-29</v>
      </c>
      <c r="D21" s="424">
        <v>1</v>
      </c>
      <c r="E21" s="424">
        <v>-37</v>
      </c>
      <c r="F21" s="424">
        <v>-1</v>
      </c>
      <c r="G21" s="443">
        <v>-66</v>
      </c>
      <c r="H21" s="424">
        <v>-4</v>
      </c>
      <c r="I21" s="424">
        <v>-221</v>
      </c>
      <c r="J21" s="443">
        <v>-71</v>
      </c>
    </row>
    <row r="22" spans="1:25" ht="15" customHeight="1">
      <c r="B22" s="399" t="s">
        <v>146</v>
      </c>
      <c r="C22" s="424">
        <v>0</v>
      </c>
      <c r="D22" s="424">
        <v>-54</v>
      </c>
      <c r="E22" s="424">
        <v>0</v>
      </c>
      <c r="F22" s="424">
        <v>0</v>
      </c>
      <c r="G22" s="443">
        <v>-54</v>
      </c>
      <c r="H22" s="424">
        <v>0</v>
      </c>
      <c r="I22" s="424">
        <v>0</v>
      </c>
      <c r="J22" s="443">
        <v>0</v>
      </c>
    </row>
    <row r="23" spans="1:25" s="389" customFormat="1" ht="15" customHeight="1">
      <c r="A23"/>
      <c r="B23" s="401" t="s">
        <v>100</v>
      </c>
      <c r="C23" s="473"/>
      <c r="D23" s="473"/>
      <c r="E23" s="473"/>
      <c r="F23" s="473"/>
      <c r="G23" s="444"/>
      <c r="H23" s="473"/>
      <c r="I23" s="473"/>
      <c r="J23" s="444"/>
      <c r="K23" s="414"/>
      <c r="L23" s="414"/>
      <c r="M23" s="414"/>
      <c r="N23" s="414"/>
      <c r="O23" s="414"/>
      <c r="P23" s="414"/>
      <c r="Q23" s="414"/>
      <c r="R23" s="414"/>
      <c r="S23" s="414"/>
      <c r="T23" s="414"/>
      <c r="U23" s="414"/>
      <c r="V23" s="414"/>
      <c r="W23" s="414"/>
      <c r="X23" s="414"/>
      <c r="Y23" s="414"/>
    </row>
    <row r="24" spans="1:25" ht="15" customHeight="1">
      <c r="B24" s="399" t="s">
        <v>101</v>
      </c>
      <c r="C24" s="424">
        <v>21</v>
      </c>
      <c r="D24" s="424">
        <v>41</v>
      </c>
      <c r="E24" s="424">
        <v>49</v>
      </c>
      <c r="F24" s="424">
        <v>219</v>
      </c>
      <c r="G24" s="443">
        <v>331</v>
      </c>
      <c r="H24" s="424">
        <v>18</v>
      </c>
      <c r="I24" s="424">
        <v>12</v>
      </c>
      <c r="J24" s="443">
        <v>20</v>
      </c>
    </row>
    <row r="25" spans="1:25" ht="15" customHeight="1">
      <c r="B25" s="399" t="s">
        <v>151</v>
      </c>
      <c r="C25" s="424">
        <v>0</v>
      </c>
      <c r="D25" s="424">
        <v>0</v>
      </c>
      <c r="E25" s="424">
        <v>7</v>
      </c>
      <c r="F25" s="424">
        <v>7</v>
      </c>
      <c r="G25" s="443">
        <v>14</v>
      </c>
      <c r="H25" s="424">
        <v>810</v>
      </c>
      <c r="I25" s="424">
        <v>879</v>
      </c>
      <c r="J25" s="443">
        <v>55</v>
      </c>
    </row>
    <row r="26" spans="1:25" s="389" customFormat="1" ht="15" customHeight="1">
      <c r="A26"/>
      <c r="B26" s="401" t="s">
        <v>414</v>
      </c>
      <c r="C26" s="601">
        <v>-724</v>
      </c>
      <c r="D26" s="473">
        <v>-485</v>
      </c>
      <c r="E26" s="473">
        <v>-413</v>
      </c>
      <c r="F26" s="473">
        <v>-175</v>
      </c>
      <c r="G26" s="444">
        <v>-1797</v>
      </c>
      <c r="H26" s="473">
        <v>397</v>
      </c>
      <c r="I26" s="473">
        <v>338</v>
      </c>
      <c r="J26" s="444">
        <v>-314</v>
      </c>
      <c r="K26" s="414"/>
      <c r="L26" s="414"/>
      <c r="M26" s="414"/>
      <c r="N26" s="414"/>
      <c r="O26" s="414"/>
      <c r="P26" s="414"/>
      <c r="Q26" s="414"/>
      <c r="R26" s="414"/>
      <c r="S26" s="414"/>
      <c r="T26" s="414"/>
      <c r="U26" s="414"/>
      <c r="V26" s="414"/>
      <c r="W26" s="414"/>
      <c r="X26" s="414"/>
      <c r="Y26" s="414"/>
    </row>
    <row r="27" spans="1:25" ht="15" customHeight="1">
      <c r="B27" s="399" t="s">
        <v>102</v>
      </c>
      <c r="C27" s="602">
        <v>-66</v>
      </c>
      <c r="D27" s="424">
        <v>-242</v>
      </c>
      <c r="E27" s="424">
        <v>6</v>
      </c>
      <c r="F27" s="424">
        <v>129</v>
      </c>
      <c r="G27" s="443">
        <v>-172</v>
      </c>
      <c r="H27" s="424">
        <v>-37</v>
      </c>
      <c r="I27" s="424">
        <v>-17</v>
      </c>
      <c r="J27" s="443">
        <v>-25</v>
      </c>
    </row>
    <row r="28" spans="1:25" ht="15" customHeight="1">
      <c r="B28" s="399" t="s">
        <v>447</v>
      </c>
      <c r="C28" s="424">
        <v>0</v>
      </c>
      <c r="D28" s="424">
        <v>0</v>
      </c>
      <c r="E28" s="424">
        <v>0</v>
      </c>
      <c r="F28" s="424">
        <v>454</v>
      </c>
      <c r="G28" s="443">
        <v>454</v>
      </c>
      <c r="H28" s="424">
        <v>0</v>
      </c>
      <c r="I28" s="424">
        <v>0</v>
      </c>
      <c r="J28" s="443">
        <v>0</v>
      </c>
      <c r="L28" s="417"/>
    </row>
    <row r="29" spans="1:25" ht="15" customHeight="1">
      <c r="B29" s="399" t="s">
        <v>448</v>
      </c>
      <c r="C29" s="424">
        <v>0</v>
      </c>
      <c r="D29" s="424">
        <v>36</v>
      </c>
      <c r="E29" s="424">
        <v>0</v>
      </c>
      <c r="F29" s="424">
        <v>0</v>
      </c>
      <c r="G29" s="443">
        <v>36</v>
      </c>
      <c r="H29" s="424">
        <v>0</v>
      </c>
      <c r="I29" s="424">
        <v>0</v>
      </c>
      <c r="J29" s="443">
        <v>0</v>
      </c>
    </row>
    <row r="30" spans="1:25" ht="15" customHeight="1">
      <c r="B30" s="399" t="s">
        <v>103</v>
      </c>
      <c r="C30" s="424">
        <v>34</v>
      </c>
      <c r="D30" s="424">
        <v>192</v>
      </c>
      <c r="E30" s="424">
        <v>181</v>
      </c>
      <c r="F30" s="424">
        <v>-333</v>
      </c>
      <c r="G30" s="443">
        <v>74</v>
      </c>
      <c r="H30" s="424">
        <v>-89</v>
      </c>
      <c r="I30" s="424">
        <v>-10</v>
      </c>
      <c r="J30" s="443">
        <v>-3</v>
      </c>
    </row>
    <row r="31" spans="1:25" ht="15" customHeight="1">
      <c r="B31" s="399" t="s">
        <v>104</v>
      </c>
      <c r="C31" s="424">
        <v>0</v>
      </c>
      <c r="D31" s="424">
        <v>-379</v>
      </c>
      <c r="E31" s="424">
        <v>0</v>
      </c>
      <c r="F31" s="424">
        <v>-87</v>
      </c>
      <c r="G31" s="443">
        <v>-466</v>
      </c>
      <c r="H31" s="424">
        <v>0</v>
      </c>
      <c r="I31" s="424">
        <v>-582</v>
      </c>
      <c r="J31" s="443">
        <v>0</v>
      </c>
    </row>
    <row r="32" spans="1:25" s="389" customFormat="1" ht="15" customHeight="1">
      <c r="A32"/>
      <c r="B32" s="401" t="s">
        <v>415</v>
      </c>
      <c r="C32" s="601">
        <v>-32</v>
      </c>
      <c r="D32" s="601">
        <v>-392</v>
      </c>
      <c r="E32" s="473">
        <v>187</v>
      </c>
      <c r="F32" s="473">
        <v>164</v>
      </c>
      <c r="G32" s="444">
        <v>-74</v>
      </c>
      <c r="H32" s="473">
        <v>-127</v>
      </c>
      <c r="I32" s="473">
        <v>-608</v>
      </c>
      <c r="J32" s="444">
        <v>-28</v>
      </c>
      <c r="K32" s="414"/>
      <c r="L32" s="414"/>
      <c r="M32" s="414"/>
      <c r="N32" s="414"/>
      <c r="O32" s="414"/>
      <c r="P32" s="414"/>
      <c r="Q32" s="414"/>
      <c r="R32" s="414"/>
      <c r="S32" s="414"/>
      <c r="T32" s="414"/>
      <c r="U32" s="414"/>
      <c r="V32" s="414"/>
      <c r="W32" s="414"/>
      <c r="X32" s="414"/>
      <c r="Y32" s="414"/>
    </row>
    <row r="33" spans="1:25" ht="15" customHeight="1">
      <c r="B33" s="399" t="s">
        <v>105</v>
      </c>
      <c r="C33" s="424">
        <v>-2</v>
      </c>
      <c r="D33" s="424">
        <v>-2</v>
      </c>
      <c r="E33" s="424">
        <v>-3</v>
      </c>
      <c r="F33" s="424">
        <v>-34</v>
      </c>
      <c r="G33" s="443">
        <v>-42</v>
      </c>
      <c r="H33" s="424">
        <v>-15</v>
      </c>
      <c r="I33" s="424">
        <v>-10</v>
      </c>
      <c r="J33" s="443">
        <v>-10</v>
      </c>
    </row>
    <row r="34" spans="1:25" s="389" customFormat="1" ht="15" customHeight="1">
      <c r="A34"/>
      <c r="B34" s="401" t="s">
        <v>106</v>
      </c>
      <c r="C34" s="473">
        <v>-179</v>
      </c>
      <c r="D34" s="601">
        <v>156</v>
      </c>
      <c r="E34" s="473">
        <v>423</v>
      </c>
      <c r="F34" s="473">
        <v>565</v>
      </c>
      <c r="G34" s="444">
        <v>965</v>
      </c>
      <c r="H34" s="473">
        <v>1179</v>
      </c>
      <c r="I34" s="473">
        <v>710</v>
      </c>
      <c r="J34" s="444">
        <v>440</v>
      </c>
      <c r="K34" s="414"/>
      <c r="L34" s="414"/>
      <c r="M34" s="414"/>
      <c r="N34" s="414"/>
      <c r="O34" s="414"/>
      <c r="P34" s="414"/>
      <c r="Q34" s="414"/>
      <c r="R34" s="414"/>
      <c r="S34" s="414"/>
      <c r="T34" s="414"/>
      <c r="U34" s="414"/>
      <c r="V34" s="414"/>
      <c r="W34" s="414"/>
      <c r="X34" s="414"/>
      <c r="Y34" s="414"/>
    </row>
    <row r="35" spans="1:25" ht="15" customHeight="1">
      <c r="B35" s="399" t="s">
        <v>107</v>
      </c>
      <c r="C35" s="424">
        <v>1348</v>
      </c>
      <c r="D35" s="424">
        <v>1169</v>
      </c>
      <c r="E35" s="424">
        <v>1325</v>
      </c>
      <c r="F35" s="424">
        <v>1748</v>
      </c>
      <c r="G35" s="443">
        <v>1348</v>
      </c>
      <c r="H35" s="424">
        <v>2314</v>
      </c>
      <c r="I35" s="424">
        <v>3493</v>
      </c>
      <c r="J35" s="443">
        <v>4203</v>
      </c>
    </row>
    <row r="36" spans="1:25" s="389" customFormat="1" ht="15" customHeight="1">
      <c r="A36"/>
      <c r="B36" s="401" t="s">
        <v>108</v>
      </c>
      <c r="C36" s="473">
        <v>1169</v>
      </c>
      <c r="D36" s="601">
        <v>1325</v>
      </c>
      <c r="E36" s="473">
        <v>1748</v>
      </c>
      <c r="F36" s="473">
        <v>2314</v>
      </c>
      <c r="G36" s="444">
        <v>2314</v>
      </c>
      <c r="H36" s="473">
        <v>3493</v>
      </c>
      <c r="I36" s="473">
        <v>4203</v>
      </c>
      <c r="J36" s="444">
        <v>4643</v>
      </c>
      <c r="K36" s="414"/>
      <c r="L36" s="414"/>
      <c r="M36" s="414"/>
      <c r="N36" s="414"/>
      <c r="O36" s="414"/>
      <c r="P36" s="414"/>
      <c r="Q36" s="414"/>
      <c r="R36" s="414"/>
      <c r="S36" s="414"/>
      <c r="T36" s="414"/>
      <c r="U36" s="414"/>
      <c r="V36" s="414"/>
      <c r="W36" s="414"/>
      <c r="X36" s="414"/>
      <c r="Y36" s="414"/>
    </row>
    <row r="37" spans="1:25" ht="15" customHeight="1">
      <c r="B37" s="500" t="s">
        <v>515</v>
      </c>
      <c r="C37" s="474">
        <v>0</v>
      </c>
      <c r="D37" s="474">
        <v>0</v>
      </c>
      <c r="E37" s="474">
        <v>0</v>
      </c>
      <c r="F37" s="474">
        <v>245</v>
      </c>
      <c r="G37" s="483">
        <v>245</v>
      </c>
      <c r="H37" s="474">
        <v>370</v>
      </c>
      <c r="I37" s="474">
        <v>0</v>
      </c>
      <c r="J37" s="483">
        <v>0</v>
      </c>
    </row>
    <row r="38" spans="1:25" ht="15" customHeight="1">
      <c r="B38" s="603" t="s">
        <v>445</v>
      </c>
      <c r="C38" s="473">
        <v>1169</v>
      </c>
      <c r="D38" s="424">
        <v>1325</v>
      </c>
      <c r="E38" s="473">
        <v>1748</v>
      </c>
      <c r="F38" s="473">
        <v>2069</v>
      </c>
      <c r="G38" s="444">
        <v>2069</v>
      </c>
      <c r="H38" s="473">
        <v>3123</v>
      </c>
      <c r="I38" s="473">
        <v>4203</v>
      </c>
      <c r="J38" s="444">
        <v>4643</v>
      </c>
    </row>
    <row r="39" spans="1:25" ht="15" customHeight="1">
      <c r="B39" s="401" t="s">
        <v>385</v>
      </c>
      <c r="C39" s="473">
        <v>-145</v>
      </c>
      <c r="D39" s="424">
        <v>551</v>
      </c>
      <c r="E39" s="473">
        <v>239</v>
      </c>
      <c r="F39" s="473">
        <v>436</v>
      </c>
      <c r="G39" s="444">
        <v>1081</v>
      </c>
      <c r="H39" s="473">
        <v>1320</v>
      </c>
      <c r="I39" s="473">
        <v>1329</v>
      </c>
      <c r="J39" s="444">
        <v>478</v>
      </c>
    </row>
    <row r="40" spans="1:25" ht="15" customHeight="1">
      <c r="B40" s="401" t="s">
        <v>446</v>
      </c>
      <c r="C40" s="473">
        <v>-145</v>
      </c>
      <c r="D40" s="424">
        <v>172</v>
      </c>
      <c r="E40" s="473">
        <v>239</v>
      </c>
      <c r="F40" s="473">
        <v>349</v>
      </c>
      <c r="G40" s="444">
        <v>615</v>
      </c>
      <c r="H40" s="473">
        <v>1320</v>
      </c>
      <c r="I40" s="473">
        <v>747</v>
      </c>
      <c r="J40" s="444">
        <v>478</v>
      </c>
    </row>
    <row r="41" spans="1:25">
      <c r="B41" s="401" t="s">
        <v>491</v>
      </c>
      <c r="C41" s="473">
        <v>-145</v>
      </c>
      <c r="D41" s="424">
        <v>208</v>
      </c>
      <c r="E41" s="473">
        <v>239</v>
      </c>
      <c r="F41" s="473">
        <v>803</v>
      </c>
      <c r="G41" s="444">
        <v>1105</v>
      </c>
      <c r="H41" s="473">
        <v>1320</v>
      </c>
      <c r="I41" s="473">
        <v>747</v>
      </c>
      <c r="J41" s="444">
        <v>478</v>
      </c>
    </row>
    <row r="42" spans="1:25" ht="12.75" customHeight="1">
      <c r="B42" s="413"/>
      <c r="C42" s="413"/>
      <c r="D42" s="413"/>
      <c r="E42" s="413"/>
      <c r="F42" s="413"/>
      <c r="G42" s="413"/>
      <c r="H42" s="413"/>
      <c r="I42" s="413"/>
      <c r="J42" s="412"/>
    </row>
    <row r="43" spans="1:25" ht="15" customHeight="1">
      <c r="B43" s="655"/>
      <c r="C43" s="413"/>
      <c r="D43" s="413"/>
      <c r="E43" s="413"/>
      <c r="F43" s="413"/>
      <c r="G43" s="413"/>
      <c r="H43" s="413"/>
      <c r="I43" s="413"/>
      <c r="J43" s="412"/>
    </row>
  </sheetData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0" fitToHeight="0" orientation="portrait" r:id="rId1"/>
  <headerFooter alignWithMargins="0">
    <oddHeader>&amp;CNovember 9, 2017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U11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30.85546875" style="412" customWidth="1"/>
    <col min="3" max="10" width="10.7109375" style="412" customWidth="1"/>
    <col min="11" max="21" width="11.42578125" style="412"/>
    <col min="22" max="16384" width="11.42578125" style="6"/>
  </cols>
  <sheetData>
    <row r="1" spans="1:21" s="593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90"/>
      <c r="L1" s="590"/>
      <c r="M1" s="590"/>
      <c r="N1" s="590"/>
      <c r="O1" s="590"/>
      <c r="P1" s="590"/>
      <c r="Q1" s="590"/>
      <c r="R1" s="590"/>
      <c r="S1" s="590"/>
      <c r="T1" s="590"/>
      <c r="U1" s="590"/>
    </row>
    <row r="2" spans="1:21" s="593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90"/>
      <c r="L2" s="590"/>
      <c r="M2" s="590"/>
      <c r="N2" s="590"/>
      <c r="O2" s="590"/>
      <c r="P2" s="590"/>
      <c r="Q2" s="590"/>
      <c r="R2" s="590"/>
      <c r="S2" s="590"/>
      <c r="T2" s="590"/>
      <c r="U2" s="590"/>
    </row>
    <row r="3" spans="1:21" s="593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90"/>
      <c r="L3" s="590"/>
      <c r="M3" s="590"/>
      <c r="N3" s="590"/>
      <c r="O3" s="590"/>
      <c r="P3" s="590"/>
      <c r="Q3" s="590"/>
      <c r="R3" s="590"/>
      <c r="S3" s="590"/>
      <c r="T3" s="590"/>
      <c r="U3" s="590"/>
    </row>
    <row r="4" spans="1:21" ht="15" customHeight="1" thickBot="1">
      <c r="B4" s="419" t="s">
        <v>386</v>
      </c>
      <c r="C4" s="419"/>
      <c r="D4" s="419"/>
      <c r="E4" s="370"/>
      <c r="F4" s="419"/>
      <c r="G4" s="419"/>
      <c r="H4" s="419"/>
      <c r="I4" s="419"/>
      <c r="J4" s="419"/>
    </row>
    <row r="5" spans="1:21" ht="15" customHeight="1">
      <c r="B5" s="521" t="s">
        <v>450</v>
      </c>
      <c r="C5" s="421"/>
      <c r="D5" s="421"/>
      <c r="E5" s="421"/>
      <c r="F5" s="421"/>
      <c r="G5" s="421"/>
      <c r="H5" s="421"/>
      <c r="I5" s="421"/>
      <c r="J5" s="421"/>
    </row>
    <row r="6" spans="1:21" ht="15.75" thickBot="1">
      <c r="B6" s="522"/>
      <c r="C6" s="428" t="s">
        <v>454</v>
      </c>
      <c r="D6" s="428" t="s">
        <v>455</v>
      </c>
      <c r="E6" s="428" t="s">
        <v>456</v>
      </c>
      <c r="F6" s="428" t="s">
        <v>457</v>
      </c>
      <c r="G6" s="523">
        <v>2016</v>
      </c>
      <c r="H6" s="423" t="s">
        <v>458</v>
      </c>
      <c r="I6" s="423" t="s">
        <v>459</v>
      </c>
      <c r="J6" s="523" t="s">
        <v>540</v>
      </c>
    </row>
    <row r="7" spans="1:21">
      <c r="B7" s="524" t="s">
        <v>387</v>
      </c>
      <c r="C7" s="424">
        <v>47</v>
      </c>
      <c r="D7" s="424">
        <v>111</v>
      </c>
      <c r="E7" s="424">
        <v>-8</v>
      </c>
      <c r="F7" s="424">
        <v>-103</v>
      </c>
      <c r="G7" s="443">
        <v>47</v>
      </c>
      <c r="H7" s="424">
        <v>-172</v>
      </c>
      <c r="I7" s="424">
        <v>-172</v>
      </c>
      <c r="J7" s="443">
        <v>-148</v>
      </c>
    </row>
    <row r="8" spans="1:21">
      <c r="B8" s="524" t="s">
        <v>413</v>
      </c>
      <c r="C8" s="424">
        <v>-11</v>
      </c>
      <c r="D8" s="424">
        <v>-36</v>
      </c>
      <c r="E8" s="424">
        <v>10</v>
      </c>
      <c r="F8" s="424">
        <v>-93</v>
      </c>
      <c r="G8" s="443">
        <v>-130</v>
      </c>
      <c r="H8" s="424">
        <v>-109</v>
      </c>
      <c r="I8" s="424">
        <v>-135</v>
      </c>
      <c r="J8" s="443">
        <v>-122</v>
      </c>
    </row>
    <row r="9" spans="1:21">
      <c r="B9" s="524" t="s">
        <v>63</v>
      </c>
      <c r="C9" s="424">
        <v>59</v>
      </c>
      <c r="D9" s="424">
        <v>147</v>
      </c>
      <c r="E9" s="424">
        <v>-18</v>
      </c>
      <c r="F9" s="424">
        <v>-10</v>
      </c>
      <c r="G9" s="443">
        <v>178</v>
      </c>
      <c r="H9" s="424">
        <v>-63</v>
      </c>
      <c r="I9" s="424">
        <v>-37</v>
      </c>
      <c r="J9" s="443">
        <v>-26</v>
      </c>
    </row>
    <row r="10" spans="1:21">
      <c r="B10" s="524" t="s">
        <v>388</v>
      </c>
      <c r="C10" s="525">
        <v>-0.54</v>
      </c>
      <c r="D10" s="525">
        <v>0.49</v>
      </c>
      <c r="E10" s="525">
        <v>0.06</v>
      </c>
      <c r="F10" s="525">
        <v>-0.45</v>
      </c>
      <c r="G10" s="526">
        <v>0.21</v>
      </c>
      <c r="H10" s="525">
        <v>0.17</v>
      </c>
      <c r="I10" s="525">
        <v>-0.23</v>
      </c>
      <c r="J10" s="526">
        <v>0.21</v>
      </c>
    </row>
    <row r="11" spans="1:21">
      <c r="B11" s="418"/>
      <c r="C11" s="418"/>
      <c r="E11" s="418"/>
      <c r="F11" s="418"/>
      <c r="G11" s="418"/>
      <c r="H11" s="418"/>
      <c r="I11" s="418"/>
      <c r="J11" s="418"/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84" fitToHeight="0" orientation="portrait" r:id="rId1"/>
  <headerFooter alignWithMargins="0">
    <oddHeader>&amp;CNovember 9, 2017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U32"/>
  <sheetViews>
    <sheetView showZeros="0" view="pageBreakPreview" zoomScaleNormal="100" zoomScaleSheetLayoutView="100" workbookViewId="0">
      <pane xSplit="2" ySplit="6" topLeftCell="D11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0.85546875" style="370" customWidth="1"/>
    <col min="3" max="9" width="14.7109375" style="370" customWidth="1"/>
    <col min="10" max="10" width="11.42578125" style="370"/>
    <col min="11" max="11" width="3.85546875" style="370" customWidth="1"/>
    <col min="12" max="15" width="11.42578125" style="370"/>
    <col min="16" max="16384" width="11.42578125" style="354"/>
  </cols>
  <sheetData>
    <row r="1" spans="1:21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</row>
    <row r="2" spans="1:21" s="592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524"/>
      <c r="S2" s="524"/>
      <c r="T2" s="524"/>
      <c r="U2" s="524"/>
    </row>
    <row r="3" spans="1:21" s="592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24"/>
      <c r="M3" s="524"/>
      <c r="N3" s="524"/>
      <c r="O3" s="524"/>
    </row>
    <row r="4" spans="1:21" ht="15" customHeight="1" thickBot="1">
      <c r="B4" s="419" t="s">
        <v>164</v>
      </c>
      <c r="C4" s="419"/>
      <c r="D4" s="419"/>
      <c r="E4" s="419"/>
      <c r="F4" s="419"/>
      <c r="G4" s="419"/>
      <c r="H4" s="419"/>
      <c r="I4" s="419"/>
    </row>
    <row r="5" spans="1:21" ht="15" customHeight="1">
      <c r="B5" s="421" t="s">
        <v>287</v>
      </c>
      <c r="C5" s="421"/>
      <c r="D5" s="421"/>
      <c r="E5" s="421"/>
      <c r="F5" s="421"/>
      <c r="G5" s="421"/>
      <c r="H5" s="421"/>
      <c r="I5" s="421"/>
    </row>
    <row r="6" spans="1:21" ht="15" customHeight="1" thickBot="1">
      <c r="B6" s="604" t="s">
        <v>157</v>
      </c>
      <c r="C6" s="605" t="s">
        <v>471</v>
      </c>
      <c r="D6" s="605" t="s">
        <v>472</v>
      </c>
      <c r="E6" s="605" t="s">
        <v>473</v>
      </c>
      <c r="F6" s="606" t="s">
        <v>465</v>
      </c>
      <c r="G6" s="605" t="s">
        <v>460</v>
      </c>
      <c r="H6" s="605" t="s">
        <v>464</v>
      </c>
      <c r="I6" s="606" t="s">
        <v>541</v>
      </c>
    </row>
    <row r="7" spans="1:21" s="481" customFormat="1" ht="15" customHeight="1">
      <c r="A7"/>
      <c r="B7" s="607" t="s">
        <v>158</v>
      </c>
      <c r="C7" s="608">
        <v>7</v>
      </c>
      <c r="D7" s="608">
        <v>7</v>
      </c>
      <c r="E7" s="608">
        <v>7</v>
      </c>
      <c r="F7" s="609">
        <v>7</v>
      </c>
      <c r="G7" s="608">
        <v>7</v>
      </c>
      <c r="H7" s="608">
        <v>7</v>
      </c>
      <c r="I7" s="609">
        <v>7</v>
      </c>
      <c r="J7" s="480"/>
      <c r="K7" s="480"/>
      <c r="L7" s="480"/>
      <c r="M7" s="480"/>
      <c r="N7" s="480"/>
      <c r="O7" s="480"/>
    </row>
    <row r="8" spans="1:21" ht="15" customHeight="1">
      <c r="B8" s="610" t="s">
        <v>474</v>
      </c>
      <c r="C8" s="611">
        <v>7</v>
      </c>
      <c r="D8" s="611">
        <v>7</v>
      </c>
      <c r="E8" s="611">
        <v>7</v>
      </c>
      <c r="F8" s="612">
        <v>7</v>
      </c>
      <c r="G8" s="611">
        <v>7</v>
      </c>
      <c r="H8" s="611">
        <v>7</v>
      </c>
      <c r="I8" s="612">
        <v>7</v>
      </c>
    </row>
    <row r="9" spans="1:21" ht="15" customHeight="1">
      <c r="B9" s="610" t="s">
        <v>475</v>
      </c>
      <c r="C9" s="611"/>
      <c r="D9" s="611"/>
      <c r="E9" s="611"/>
      <c r="F9" s="612"/>
      <c r="G9" s="611"/>
      <c r="H9" s="611"/>
      <c r="I9" s="612">
        <v>0</v>
      </c>
    </row>
    <row r="10" spans="1:21" s="481" customFormat="1" ht="15" customHeight="1">
      <c r="A10"/>
      <c r="B10" s="607" t="s">
        <v>78</v>
      </c>
      <c r="C10" s="608">
        <v>113</v>
      </c>
      <c r="D10" s="608">
        <v>98</v>
      </c>
      <c r="E10" s="608">
        <v>108</v>
      </c>
      <c r="F10" s="609">
        <v>96</v>
      </c>
      <c r="G10" s="608">
        <v>95</v>
      </c>
      <c r="H10" s="608">
        <v>93</v>
      </c>
      <c r="I10" s="609">
        <v>91</v>
      </c>
      <c r="J10" s="480"/>
      <c r="K10" s="480"/>
      <c r="L10" s="480"/>
      <c r="M10" s="480"/>
      <c r="N10" s="480"/>
      <c r="O10" s="480"/>
    </row>
    <row r="11" spans="1:21" ht="15" customHeight="1">
      <c r="B11" s="610" t="s">
        <v>474</v>
      </c>
      <c r="C11" s="611">
        <v>113</v>
      </c>
      <c r="D11" s="611">
        <v>54</v>
      </c>
      <c r="E11" s="611">
        <v>33</v>
      </c>
      <c r="F11" s="612">
        <v>20</v>
      </c>
      <c r="G11" s="611">
        <v>17</v>
      </c>
      <c r="H11" s="611">
        <v>15</v>
      </c>
      <c r="I11" s="612">
        <v>5</v>
      </c>
    </row>
    <row r="12" spans="1:21" ht="15" customHeight="1">
      <c r="B12" s="610" t="s">
        <v>475</v>
      </c>
      <c r="C12" s="611"/>
      <c r="D12" s="611">
        <v>43</v>
      </c>
      <c r="E12" s="611">
        <v>75</v>
      </c>
      <c r="F12" s="612">
        <v>76</v>
      </c>
      <c r="G12" s="611">
        <v>78</v>
      </c>
      <c r="H12" s="611">
        <v>78</v>
      </c>
      <c r="I12" s="612">
        <v>86</v>
      </c>
    </row>
    <row r="13" spans="1:21" s="481" customFormat="1" ht="30">
      <c r="A13"/>
      <c r="B13" s="607" t="s">
        <v>159</v>
      </c>
      <c r="C13" s="613">
        <v>124</v>
      </c>
      <c r="D13" s="613">
        <v>35</v>
      </c>
      <c r="E13" s="613">
        <v>27</v>
      </c>
      <c r="F13" s="614">
        <v>39</v>
      </c>
      <c r="G13" s="613">
        <v>3</v>
      </c>
      <c r="H13" s="613">
        <v>4</v>
      </c>
      <c r="I13" s="614">
        <v>33</v>
      </c>
      <c r="J13" s="480"/>
      <c r="K13" s="480"/>
      <c r="L13" s="480"/>
      <c r="M13" s="480"/>
      <c r="N13" s="480"/>
      <c r="O13" s="480"/>
    </row>
    <row r="14" spans="1:21" ht="15" customHeight="1">
      <c r="B14" s="610" t="s">
        <v>474</v>
      </c>
      <c r="C14" s="611"/>
      <c r="D14" s="611"/>
      <c r="E14" s="611"/>
      <c r="F14" s="612"/>
      <c r="G14" s="611"/>
      <c r="H14" s="611"/>
      <c r="I14" s="612">
        <v>0</v>
      </c>
    </row>
    <row r="15" spans="1:21" ht="15" customHeight="1">
      <c r="B15" s="610" t="s">
        <v>475</v>
      </c>
      <c r="C15" s="611">
        <v>124</v>
      </c>
      <c r="D15" s="611">
        <v>35</v>
      </c>
      <c r="E15" s="611">
        <v>27</v>
      </c>
      <c r="F15" s="612">
        <v>39</v>
      </c>
      <c r="G15" s="611">
        <v>3</v>
      </c>
      <c r="H15" s="611">
        <v>4</v>
      </c>
      <c r="I15" s="612">
        <v>33</v>
      </c>
    </row>
    <row r="16" spans="1:21" s="481" customFormat="1" ht="15" customHeight="1">
      <c r="A16"/>
      <c r="B16" s="607" t="s">
        <v>160</v>
      </c>
      <c r="C16" s="608">
        <v>961</v>
      </c>
      <c r="D16" s="608">
        <v>583</v>
      </c>
      <c r="E16" s="608">
        <v>477</v>
      </c>
      <c r="F16" s="609">
        <v>777</v>
      </c>
      <c r="G16" s="608">
        <v>386</v>
      </c>
      <c r="H16" s="608">
        <v>494</v>
      </c>
      <c r="I16" s="609">
        <v>588</v>
      </c>
      <c r="J16" s="480"/>
      <c r="K16" s="480"/>
      <c r="L16" s="480"/>
      <c r="M16" s="480"/>
      <c r="N16" s="480"/>
      <c r="O16" s="480"/>
    </row>
    <row r="17" spans="1:15" ht="15" customHeight="1">
      <c r="B17" s="610" t="s">
        <v>474</v>
      </c>
      <c r="C17" s="611">
        <v>336</v>
      </c>
      <c r="D17" s="611">
        <v>141</v>
      </c>
      <c r="E17" s="611">
        <v>146</v>
      </c>
      <c r="F17" s="612">
        <v>192</v>
      </c>
      <c r="G17" s="611">
        <v>112</v>
      </c>
      <c r="H17" s="611">
        <v>175</v>
      </c>
      <c r="I17" s="612">
        <v>383</v>
      </c>
    </row>
    <row r="18" spans="1:15" ht="15" customHeight="1">
      <c r="B18" s="610" t="s">
        <v>475</v>
      </c>
      <c r="C18" s="611">
        <v>625</v>
      </c>
      <c r="D18" s="611">
        <v>442</v>
      </c>
      <c r="E18" s="611">
        <v>331</v>
      </c>
      <c r="F18" s="612">
        <v>585</v>
      </c>
      <c r="G18" s="611">
        <v>274</v>
      </c>
      <c r="H18" s="611">
        <v>320</v>
      </c>
      <c r="I18" s="612">
        <v>206</v>
      </c>
    </row>
    <row r="19" spans="1:15" ht="15" customHeight="1" thickBot="1">
      <c r="B19" s="425" t="s">
        <v>45</v>
      </c>
      <c r="C19" s="615">
        <v>1204</v>
      </c>
      <c r="D19" s="615">
        <v>724</v>
      </c>
      <c r="E19" s="615">
        <v>620</v>
      </c>
      <c r="F19" s="616">
        <v>919</v>
      </c>
      <c r="G19" s="615">
        <v>491</v>
      </c>
      <c r="H19" s="615">
        <v>599</v>
      </c>
      <c r="I19" s="616">
        <v>719</v>
      </c>
    </row>
    <row r="20" spans="1:15" ht="15" customHeight="1">
      <c r="B20" s="610" t="s">
        <v>474</v>
      </c>
      <c r="C20" s="611">
        <v>456</v>
      </c>
      <c r="D20" s="611">
        <v>203</v>
      </c>
      <c r="E20" s="611">
        <v>186</v>
      </c>
      <c r="F20" s="612">
        <v>219</v>
      </c>
      <c r="G20" s="611">
        <v>355</v>
      </c>
      <c r="H20" s="611">
        <v>197</v>
      </c>
      <c r="I20" s="612">
        <v>395</v>
      </c>
    </row>
    <row r="21" spans="1:15" ht="15" customHeight="1">
      <c r="B21" s="610" t="s">
        <v>475</v>
      </c>
      <c r="C21" s="611">
        <v>749</v>
      </c>
      <c r="D21" s="611">
        <v>521</v>
      </c>
      <c r="E21" s="611">
        <v>433</v>
      </c>
      <c r="F21" s="612">
        <v>699</v>
      </c>
      <c r="G21" s="611">
        <v>137</v>
      </c>
      <c r="H21" s="611">
        <v>402</v>
      </c>
      <c r="I21" s="612">
        <v>324</v>
      </c>
    </row>
    <row r="22" spans="1:15" ht="15" customHeight="1">
      <c r="B22" s="617"/>
      <c r="C22" s="618"/>
      <c r="D22" s="618"/>
      <c r="E22" s="618"/>
      <c r="F22" s="619"/>
      <c r="G22" s="618"/>
      <c r="H22" s="618"/>
      <c r="I22" s="619">
        <v>0</v>
      </c>
    </row>
    <row r="23" spans="1:15" ht="15" customHeight="1" thickBot="1">
      <c r="B23" s="425" t="s">
        <v>161</v>
      </c>
      <c r="C23" s="605" t="s">
        <v>471</v>
      </c>
      <c r="D23" s="605" t="s">
        <v>472</v>
      </c>
      <c r="E23" s="605" t="s">
        <v>473</v>
      </c>
      <c r="F23" s="606" t="s">
        <v>465</v>
      </c>
      <c r="G23" s="605" t="s">
        <v>460</v>
      </c>
      <c r="H23" s="605" t="s">
        <v>464</v>
      </c>
      <c r="I23" s="606" t="s">
        <v>541</v>
      </c>
    </row>
    <row r="24" spans="1:15" s="481" customFormat="1" ht="30">
      <c r="A24"/>
      <c r="B24" s="607" t="s">
        <v>162</v>
      </c>
      <c r="C24" s="613">
        <v>61</v>
      </c>
      <c r="D24" s="613">
        <v>38</v>
      </c>
      <c r="E24" s="613">
        <v>29</v>
      </c>
      <c r="F24" s="614">
        <v>70</v>
      </c>
      <c r="G24" s="613">
        <v>11</v>
      </c>
      <c r="H24" s="613">
        <v>3</v>
      </c>
      <c r="I24" s="614">
        <v>42</v>
      </c>
      <c r="J24" s="480"/>
      <c r="K24" s="480"/>
      <c r="L24" s="480"/>
      <c r="M24" s="480"/>
      <c r="N24" s="480"/>
      <c r="O24" s="480"/>
    </row>
    <row r="25" spans="1:15" ht="15" customHeight="1">
      <c r="B25" s="610" t="s">
        <v>474</v>
      </c>
      <c r="C25" s="611"/>
      <c r="D25" s="611"/>
      <c r="E25" s="611"/>
      <c r="F25" s="612"/>
      <c r="G25" s="611"/>
      <c r="H25" s="611"/>
      <c r="I25" s="612">
        <v>0</v>
      </c>
    </row>
    <row r="26" spans="1:15" ht="15" customHeight="1">
      <c r="B26" s="610" t="s">
        <v>475</v>
      </c>
      <c r="C26" s="611">
        <v>61</v>
      </c>
      <c r="D26" s="611">
        <v>38</v>
      </c>
      <c r="E26" s="611">
        <v>29</v>
      </c>
      <c r="F26" s="612">
        <v>70</v>
      </c>
      <c r="G26" s="611">
        <v>11</v>
      </c>
      <c r="H26" s="611">
        <v>3</v>
      </c>
      <c r="I26" s="612">
        <v>42</v>
      </c>
    </row>
    <row r="27" spans="1:15" s="481" customFormat="1" ht="15" customHeight="1">
      <c r="A27"/>
      <c r="B27" s="607" t="s">
        <v>163</v>
      </c>
      <c r="C27" s="608">
        <v>943</v>
      </c>
      <c r="D27" s="608">
        <v>599</v>
      </c>
      <c r="E27" s="608">
        <v>456</v>
      </c>
      <c r="F27" s="609">
        <v>840</v>
      </c>
      <c r="G27" s="608">
        <v>334</v>
      </c>
      <c r="H27" s="608">
        <v>426</v>
      </c>
      <c r="I27" s="609">
        <v>621</v>
      </c>
      <c r="J27" s="480"/>
      <c r="K27" s="480"/>
      <c r="L27" s="480"/>
      <c r="M27" s="480"/>
      <c r="N27" s="480"/>
      <c r="O27" s="480"/>
    </row>
    <row r="28" spans="1:15" ht="15" customHeight="1">
      <c r="B28" s="610" t="s">
        <v>474</v>
      </c>
      <c r="C28" s="611">
        <v>387</v>
      </c>
      <c r="D28" s="611">
        <v>187</v>
      </c>
      <c r="E28" s="611">
        <v>144</v>
      </c>
      <c r="F28" s="612">
        <v>208</v>
      </c>
      <c r="G28" s="611">
        <v>101</v>
      </c>
      <c r="H28" s="611">
        <v>147</v>
      </c>
      <c r="I28" s="612">
        <v>395</v>
      </c>
    </row>
    <row r="29" spans="1:15" ht="15" customHeight="1">
      <c r="B29" s="610" t="s">
        <v>475</v>
      </c>
      <c r="C29" s="611">
        <v>556</v>
      </c>
      <c r="D29" s="611">
        <v>412</v>
      </c>
      <c r="E29" s="611">
        <v>311</v>
      </c>
      <c r="F29" s="612">
        <v>632</v>
      </c>
      <c r="G29" s="611">
        <v>233</v>
      </c>
      <c r="H29" s="611">
        <v>279</v>
      </c>
      <c r="I29" s="612">
        <v>226</v>
      </c>
    </row>
    <row r="30" spans="1:15" ht="15" customHeight="1" thickBot="1">
      <c r="B30" s="425" t="s">
        <v>45</v>
      </c>
      <c r="C30" s="615">
        <v>1004</v>
      </c>
      <c r="D30" s="615">
        <v>637</v>
      </c>
      <c r="E30" s="615">
        <v>485</v>
      </c>
      <c r="F30" s="616">
        <v>911</v>
      </c>
      <c r="G30" s="615">
        <v>345</v>
      </c>
      <c r="H30" s="615">
        <v>429</v>
      </c>
      <c r="I30" s="616">
        <v>663</v>
      </c>
    </row>
    <row r="31" spans="1:15" ht="15" customHeight="1">
      <c r="B31" s="610" t="s">
        <v>474</v>
      </c>
      <c r="C31" s="611">
        <v>387</v>
      </c>
      <c r="D31" s="611">
        <v>187</v>
      </c>
      <c r="E31" s="611">
        <v>144</v>
      </c>
      <c r="F31" s="612">
        <v>208</v>
      </c>
      <c r="G31" s="611">
        <v>101</v>
      </c>
      <c r="H31" s="611">
        <v>147</v>
      </c>
      <c r="I31" s="612">
        <v>395</v>
      </c>
    </row>
    <row r="32" spans="1:15" ht="15" customHeight="1">
      <c r="B32" s="610" t="s">
        <v>475</v>
      </c>
      <c r="C32" s="611">
        <v>617</v>
      </c>
      <c r="D32" s="611">
        <v>450</v>
      </c>
      <c r="E32" s="611">
        <v>341</v>
      </c>
      <c r="F32" s="612">
        <v>703</v>
      </c>
      <c r="G32" s="611">
        <v>244</v>
      </c>
      <c r="H32" s="611">
        <v>282</v>
      </c>
      <c r="I32" s="612">
        <v>269</v>
      </c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69" fitToHeight="0" orientation="portrait" r:id="rId1"/>
  <headerFooter alignWithMargins="0">
    <oddHeader>&amp;CNovember 9, 2017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Y81"/>
  <sheetViews>
    <sheetView view="pageBreakPreview" zoomScaleNormal="70" zoomScaleSheetLayoutView="100" workbookViewId="0">
      <pane xSplit="2" ySplit="8" topLeftCell="C54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9.85546875" style="370" customWidth="1"/>
    <col min="3" max="10" width="14.7109375" style="370" customWidth="1"/>
    <col min="11" max="25" width="11.42578125" style="370"/>
    <col min="26" max="16384" width="11.42578125" style="354"/>
  </cols>
  <sheetData>
    <row r="1" spans="1:25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  <c r="R1" s="524"/>
      <c r="S1" s="524"/>
      <c r="T1" s="524"/>
      <c r="U1" s="524"/>
      <c r="V1" s="524"/>
      <c r="W1" s="524"/>
      <c r="X1" s="524"/>
      <c r="Y1" s="524"/>
    </row>
    <row r="2" spans="1:25" s="592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524"/>
      <c r="S2" s="524"/>
      <c r="T2" s="524"/>
      <c r="U2" s="524"/>
      <c r="V2" s="524"/>
      <c r="W2" s="524"/>
      <c r="X2" s="524"/>
      <c r="Y2" s="524"/>
    </row>
    <row r="3" spans="1:25" s="592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24"/>
      <c r="M3" s="524"/>
      <c r="N3" s="524"/>
      <c r="O3" s="524"/>
      <c r="P3" s="524"/>
      <c r="Q3" s="524"/>
      <c r="R3" s="524"/>
      <c r="S3" s="524"/>
      <c r="T3" s="524"/>
      <c r="U3" s="524"/>
      <c r="V3" s="524"/>
      <c r="W3" s="524"/>
      <c r="X3" s="524"/>
      <c r="Y3" s="524"/>
    </row>
    <row r="4" spans="1:25" s="334" customFormat="1">
      <c r="A4"/>
      <c r="B4" s="600" t="s">
        <v>114</v>
      </c>
      <c r="C4" s="599"/>
      <c r="D4" s="599"/>
      <c r="E4" s="599"/>
      <c r="F4" s="599"/>
      <c r="G4" s="599"/>
      <c r="H4" s="599"/>
      <c r="I4" s="599"/>
      <c r="J4" s="599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70"/>
      <c r="W4" s="370"/>
      <c r="X4" s="370"/>
      <c r="Y4" s="370"/>
    </row>
    <row r="5" spans="1:25" s="334" customFormat="1">
      <c r="A5"/>
      <c r="B5" s="370"/>
      <c r="C5" s="370"/>
      <c r="D5" s="370"/>
      <c r="E5" s="370"/>
      <c r="F5" s="370"/>
      <c r="G5" s="370"/>
      <c r="H5" s="370"/>
      <c r="I5" s="370"/>
      <c r="J5" s="370"/>
      <c r="K5" s="370"/>
      <c r="L5" s="370"/>
      <c r="M5" s="370"/>
      <c r="N5" s="370"/>
      <c r="O5" s="370"/>
      <c r="P5" s="370"/>
      <c r="Q5" s="370"/>
      <c r="R5" s="370"/>
      <c r="S5" s="370"/>
      <c r="T5" s="370"/>
      <c r="U5" s="370"/>
      <c r="V5" s="370"/>
      <c r="W5" s="370"/>
      <c r="X5" s="370"/>
      <c r="Y5" s="370"/>
    </row>
    <row r="6" spans="1:25" s="334" customFormat="1" ht="15.75" thickBot="1">
      <c r="A6"/>
      <c r="B6" s="419" t="s">
        <v>41</v>
      </c>
      <c r="C6" s="419"/>
      <c r="D6" s="419"/>
      <c r="E6" s="419"/>
      <c r="F6" s="419"/>
      <c r="G6" s="419"/>
      <c r="H6" s="419"/>
      <c r="I6" s="419"/>
      <c r="J6" s="419"/>
      <c r="K6" s="370"/>
      <c r="L6" s="370"/>
      <c r="M6" s="370"/>
      <c r="N6" s="370"/>
      <c r="O6" s="370"/>
      <c r="P6" s="370"/>
      <c r="Q6" s="370"/>
      <c r="R6" s="370"/>
      <c r="S6" s="370"/>
      <c r="T6" s="370"/>
      <c r="U6" s="370"/>
      <c r="V6" s="370"/>
      <c r="W6" s="370"/>
      <c r="X6" s="370"/>
      <c r="Y6" s="370"/>
    </row>
    <row r="7" spans="1:25" s="334" customFormat="1">
      <c r="A7"/>
      <c r="B7" s="420" t="s">
        <v>287</v>
      </c>
      <c r="C7" s="421"/>
      <c r="D7" s="421"/>
      <c r="E7" s="421"/>
      <c r="F7" s="421"/>
      <c r="G7" s="421"/>
      <c r="H7" s="421"/>
      <c r="I7" s="421"/>
      <c r="J7" s="421"/>
      <c r="K7" s="370"/>
      <c r="L7" s="370"/>
      <c r="M7" s="370"/>
      <c r="N7" s="370"/>
      <c r="O7" s="370"/>
      <c r="P7" s="370"/>
      <c r="Q7" s="370"/>
      <c r="R7" s="370"/>
      <c r="S7" s="370"/>
      <c r="T7" s="370"/>
      <c r="U7" s="370"/>
      <c r="V7" s="370"/>
      <c r="W7" s="370"/>
      <c r="X7" s="370"/>
      <c r="Y7" s="370"/>
    </row>
    <row r="8" spans="1:25" ht="15.75" thickBot="1">
      <c r="B8" s="422"/>
      <c r="C8" s="423" t="s">
        <v>454</v>
      </c>
      <c r="D8" s="423" t="s">
        <v>455</v>
      </c>
      <c r="E8" s="423" t="s">
        <v>456</v>
      </c>
      <c r="F8" s="423" t="s">
        <v>457</v>
      </c>
      <c r="G8" s="523">
        <v>2016</v>
      </c>
      <c r="H8" s="423" t="s">
        <v>458</v>
      </c>
      <c r="I8" s="423" t="s">
        <v>459</v>
      </c>
      <c r="J8" s="523" t="s">
        <v>540</v>
      </c>
    </row>
    <row r="9" spans="1:25">
      <c r="B9" s="399" t="s">
        <v>187</v>
      </c>
      <c r="C9" s="529">
        <v>493.24927554640686</v>
      </c>
      <c r="D9" s="529">
        <v>572.91563992260103</v>
      </c>
      <c r="E9" s="529">
        <v>554.23745180943979</v>
      </c>
      <c r="F9" s="529">
        <v>651.12588121357908</v>
      </c>
      <c r="G9" s="530">
        <v>2271.5282484920267</v>
      </c>
      <c r="H9" s="529">
        <v>718.22494353925697</v>
      </c>
      <c r="I9" s="529">
        <v>697.59344808271487</v>
      </c>
      <c r="J9" s="530">
        <v>638</v>
      </c>
    </row>
    <row r="10" spans="1:25">
      <c r="B10" s="399" t="s">
        <v>188</v>
      </c>
      <c r="C10" s="529">
        <v>19.977953845597263</v>
      </c>
      <c r="D10" s="529">
        <v>17.312060470612202</v>
      </c>
      <c r="E10" s="529">
        <v>15.526869615463426</v>
      </c>
      <c r="F10" s="529">
        <v>20</v>
      </c>
      <c r="G10" s="530">
        <v>73</v>
      </c>
      <c r="H10" s="529">
        <v>21.214560346618612</v>
      </c>
      <c r="I10" s="529">
        <v>18.379488838363635</v>
      </c>
      <c r="J10" s="530">
        <v>19</v>
      </c>
    </row>
    <row r="11" spans="1:25">
      <c r="B11" s="469" t="s">
        <v>190</v>
      </c>
      <c r="C11" s="533">
        <v>7.5103523370515095</v>
      </c>
      <c r="D11" s="533">
        <v>6.3117419221675348</v>
      </c>
      <c r="E11" s="533">
        <v>4.9397764878368502</v>
      </c>
      <c r="F11" s="533">
        <v>8.8959123657738814</v>
      </c>
      <c r="G11" s="534">
        <v>27.657783112829776</v>
      </c>
      <c r="H11" s="533">
        <v>9.3182994390344724</v>
      </c>
      <c r="I11" s="533">
        <v>7.3443852261338129</v>
      </c>
      <c r="J11" s="534">
        <v>8</v>
      </c>
    </row>
    <row r="12" spans="1:25">
      <c r="B12" s="469" t="s">
        <v>191</v>
      </c>
      <c r="C12" s="533">
        <v>36.344013015043274</v>
      </c>
      <c r="D12" s="533">
        <v>32.578907041947147</v>
      </c>
      <c r="E12" s="533">
        <v>31.885369911048841</v>
      </c>
      <c r="F12" s="533">
        <v>38.059255552970811</v>
      </c>
      <c r="G12" s="534">
        <v>138.86754552101007</v>
      </c>
      <c r="H12" s="533">
        <v>42.537350275515244</v>
      </c>
      <c r="I12" s="533">
        <v>29.416899025300644</v>
      </c>
      <c r="J12" s="534">
        <v>41</v>
      </c>
    </row>
    <row r="13" spans="1:25">
      <c r="B13" s="500" t="s">
        <v>211</v>
      </c>
      <c r="C13" s="533">
        <v>-23.876411506497519</v>
      </c>
      <c r="D13" s="533">
        <v>-21.57858849350248</v>
      </c>
      <c r="E13" s="533">
        <v>-21.298276783422267</v>
      </c>
      <c r="F13" s="533">
        <v>-27</v>
      </c>
      <c r="G13" s="534">
        <v>-93</v>
      </c>
      <c r="H13" s="533">
        <v>-30.641089367931102</v>
      </c>
      <c r="I13" s="533">
        <v>-18.381795413070826</v>
      </c>
      <c r="J13" s="534">
        <v>-30</v>
      </c>
    </row>
    <row r="14" spans="1:25">
      <c r="B14" s="399" t="s">
        <v>38</v>
      </c>
      <c r="C14" s="529">
        <v>91.088212531142403</v>
      </c>
      <c r="D14" s="529">
        <v>84.408783937499493</v>
      </c>
      <c r="E14" s="529">
        <v>85.822797025964462</v>
      </c>
      <c r="F14" s="529">
        <v>104.54834839730597</v>
      </c>
      <c r="G14" s="530">
        <v>365.86814189191233</v>
      </c>
      <c r="H14" s="529">
        <v>88.121068622754322</v>
      </c>
      <c r="I14" s="529">
        <v>87.818466142970763</v>
      </c>
      <c r="J14" s="530">
        <v>83</v>
      </c>
    </row>
    <row r="15" spans="1:25" ht="15.75" thickBot="1">
      <c r="B15" s="425" t="s">
        <v>39</v>
      </c>
      <c r="C15" s="531">
        <v>604.31544192314641</v>
      </c>
      <c r="D15" s="531">
        <v>674.63648433071285</v>
      </c>
      <c r="E15" s="531">
        <v>655.58711845086737</v>
      </c>
      <c r="F15" s="531">
        <v>776</v>
      </c>
      <c r="G15" s="532">
        <v>2711</v>
      </c>
      <c r="H15" s="531">
        <v>827.56057250863</v>
      </c>
      <c r="I15" s="531">
        <v>803.79140306404906</v>
      </c>
      <c r="J15" s="532">
        <v>740</v>
      </c>
    </row>
    <row r="16" spans="1:25" s="334" customFormat="1">
      <c r="A16"/>
      <c r="B16" s="370"/>
      <c r="C16" s="370"/>
      <c r="D16" s="370"/>
      <c r="E16" s="370"/>
      <c r="F16" s="370"/>
      <c r="G16" s="370"/>
      <c r="H16" s="370"/>
      <c r="I16" s="370"/>
      <c r="J16" s="370"/>
      <c r="K16" s="370"/>
      <c r="L16" s="370"/>
      <c r="M16" s="370"/>
      <c r="N16" s="370"/>
      <c r="O16" s="370"/>
      <c r="P16" s="370"/>
      <c r="Q16" s="370"/>
      <c r="R16" s="370"/>
      <c r="S16" s="370"/>
      <c r="T16" s="370"/>
      <c r="U16" s="370"/>
      <c r="V16" s="370"/>
      <c r="W16" s="370"/>
      <c r="X16" s="370"/>
      <c r="Y16" s="370"/>
    </row>
    <row r="17" spans="1:25" s="334" customFormat="1" ht="15.75" thickBot="1">
      <c r="A17"/>
      <c r="B17" s="419" t="s">
        <v>40</v>
      </c>
      <c r="C17" s="419"/>
      <c r="D17" s="419"/>
      <c r="E17" s="419"/>
      <c r="F17" s="419"/>
      <c r="G17" s="419"/>
      <c r="H17" s="419"/>
      <c r="I17" s="419"/>
      <c r="J17" s="419"/>
      <c r="K17" s="370"/>
      <c r="L17" s="370"/>
      <c r="M17" s="370"/>
      <c r="N17" s="370"/>
      <c r="O17" s="370"/>
      <c r="P17" s="370"/>
      <c r="Q17" s="370"/>
      <c r="R17" s="370"/>
      <c r="S17" s="370"/>
      <c r="T17" s="370"/>
      <c r="U17" s="370"/>
      <c r="V17" s="370"/>
      <c r="W17" s="370"/>
      <c r="X17" s="370"/>
      <c r="Y17" s="370"/>
    </row>
    <row r="18" spans="1:25" s="334" customFormat="1">
      <c r="A18"/>
      <c r="B18" s="420" t="s">
        <v>287</v>
      </c>
      <c r="C18" s="421"/>
      <c r="D18" s="421"/>
      <c r="E18" s="421"/>
      <c r="F18" s="421"/>
      <c r="G18" s="421"/>
      <c r="H18" s="421"/>
      <c r="I18" s="421"/>
      <c r="J18" s="421"/>
      <c r="K18" s="370"/>
      <c r="L18" s="370"/>
      <c r="M18" s="370"/>
      <c r="N18" s="370"/>
      <c r="O18" s="370"/>
      <c r="P18" s="370"/>
      <c r="Q18" s="370"/>
      <c r="R18" s="370"/>
      <c r="S18" s="370"/>
      <c r="T18" s="370"/>
      <c r="U18" s="370"/>
      <c r="V18" s="370"/>
      <c r="W18" s="370"/>
      <c r="X18" s="370"/>
      <c r="Y18" s="370"/>
    </row>
    <row r="19" spans="1:25" ht="15.75" thickBot="1">
      <c r="B19" s="427"/>
      <c r="C19" s="428" t="s">
        <v>454</v>
      </c>
      <c r="D19" s="428" t="s">
        <v>455</v>
      </c>
      <c r="E19" s="428" t="s">
        <v>456</v>
      </c>
      <c r="F19" s="428" t="s">
        <v>457</v>
      </c>
      <c r="G19" s="442">
        <v>2016</v>
      </c>
      <c r="H19" s="428" t="s">
        <v>458</v>
      </c>
      <c r="I19" s="428" t="s">
        <v>459</v>
      </c>
      <c r="J19" s="442" t="s">
        <v>540</v>
      </c>
    </row>
    <row r="20" spans="1:25">
      <c r="B20" s="399" t="s">
        <v>187</v>
      </c>
      <c r="C20" s="424">
        <v>213.27614861762868</v>
      </c>
      <c r="D20" s="424">
        <v>198.7961050281225</v>
      </c>
      <c r="E20" s="424">
        <v>323.28312767810735</v>
      </c>
      <c r="F20" s="424">
        <v>277.74057446034806</v>
      </c>
      <c r="G20" s="443">
        <v>1013.0959557842066</v>
      </c>
      <c r="H20" s="424">
        <v>418.18717229900102</v>
      </c>
      <c r="I20" s="424">
        <v>309.6157246166029</v>
      </c>
      <c r="J20" s="443">
        <v>277</v>
      </c>
    </row>
    <row r="21" spans="1:25">
      <c r="B21" s="399" t="s">
        <v>188</v>
      </c>
      <c r="C21" s="424">
        <v>3777.4266895953915</v>
      </c>
      <c r="D21" s="424">
        <v>4415.0892093900184</v>
      </c>
      <c r="E21" s="424">
        <v>4925.5685334702175</v>
      </c>
      <c r="F21" s="424">
        <v>5124.8339145781065</v>
      </c>
      <c r="G21" s="443">
        <v>18242.918347033734</v>
      </c>
      <c r="H21" s="424">
        <v>5097.4229545396984</v>
      </c>
      <c r="I21" s="424">
        <v>4840.730342597396</v>
      </c>
      <c r="J21" s="443">
        <v>4368</v>
      </c>
    </row>
    <row r="22" spans="1:25">
      <c r="B22" s="469" t="s">
        <v>190</v>
      </c>
      <c r="C22" s="474">
        <v>2807.9991684564352</v>
      </c>
      <c r="D22" s="474">
        <v>3662.9882068624288</v>
      </c>
      <c r="E22" s="474">
        <v>4020.5901567620513</v>
      </c>
      <c r="F22" s="474">
        <v>4110.9598542343338</v>
      </c>
      <c r="G22" s="483">
        <v>14602.537386315249</v>
      </c>
      <c r="H22" s="474">
        <v>3903.7095393530076</v>
      </c>
      <c r="I22" s="474">
        <v>3812.1725938367804</v>
      </c>
      <c r="J22" s="483">
        <v>3219</v>
      </c>
    </row>
    <row r="23" spans="1:25">
      <c r="B23" s="469" t="s">
        <v>191</v>
      </c>
      <c r="C23" s="474">
        <v>969.42752113895654</v>
      </c>
      <c r="D23" s="474">
        <v>752.10100252758843</v>
      </c>
      <c r="E23" s="474">
        <v>904.97837670816625</v>
      </c>
      <c r="F23" s="474">
        <v>1013.8740603437727</v>
      </c>
      <c r="G23" s="483">
        <v>3640.3809607184839</v>
      </c>
      <c r="H23" s="474">
        <v>1193.713415186691</v>
      </c>
      <c r="I23" s="474">
        <v>1028.5577487606149</v>
      </c>
      <c r="J23" s="483">
        <v>1149</v>
      </c>
    </row>
    <row r="24" spans="1:25">
      <c r="B24" s="399" t="s">
        <v>38</v>
      </c>
      <c r="C24" s="424">
        <v>0.10341142335189531</v>
      </c>
      <c r="D24" s="424">
        <v>-7.4286988013418903E-2</v>
      </c>
      <c r="E24" s="424">
        <v>-5.9515062124548004E-2</v>
      </c>
      <c r="F24" s="424">
        <v>4.3753573796709233</v>
      </c>
      <c r="G24" s="443">
        <v>4.3449667528848517</v>
      </c>
      <c r="H24" s="424">
        <v>2.6719196195887065</v>
      </c>
      <c r="I24" s="424">
        <v>1.4052123153869411</v>
      </c>
      <c r="J24" s="443">
        <v>1</v>
      </c>
    </row>
    <row r="25" spans="1:25" ht="15.75" thickBot="1">
      <c r="B25" s="425" t="s">
        <v>39</v>
      </c>
      <c r="C25" s="426">
        <v>3990.8062496363723</v>
      </c>
      <c r="D25" s="426">
        <v>4613.8110274301271</v>
      </c>
      <c r="E25" s="426">
        <v>5248.7921460861999</v>
      </c>
      <c r="F25" s="426">
        <v>5406.9498464181215</v>
      </c>
      <c r="G25" s="527">
        <v>19260.359269570821</v>
      </c>
      <c r="H25" s="426">
        <v>5518.2820464582883</v>
      </c>
      <c r="I25" s="426">
        <v>5151.7512795293851</v>
      </c>
      <c r="J25" s="527">
        <v>4646</v>
      </c>
    </row>
    <row r="26" spans="1:25" s="334" customFormat="1">
      <c r="A26"/>
      <c r="B26" s="370"/>
      <c r="C26" s="370"/>
      <c r="D26" s="370"/>
      <c r="E26" s="370"/>
      <c r="F26" s="370"/>
      <c r="G26" s="370"/>
      <c r="H26" s="370"/>
      <c r="I26" s="370"/>
      <c r="J26" s="370"/>
      <c r="K26" s="370"/>
      <c r="L26" s="370"/>
      <c r="M26" s="370"/>
      <c r="N26" s="370"/>
      <c r="O26" s="370"/>
      <c r="P26" s="370"/>
      <c r="Q26" s="370"/>
      <c r="R26" s="370"/>
      <c r="S26" s="370"/>
      <c r="T26" s="370"/>
      <c r="U26" s="370"/>
      <c r="V26" s="370"/>
      <c r="W26" s="370"/>
      <c r="X26" s="370"/>
      <c r="Y26" s="370"/>
    </row>
    <row r="27" spans="1:25" s="334" customFormat="1" ht="15.75" thickBot="1">
      <c r="A27"/>
      <c r="B27" s="419" t="s">
        <v>177</v>
      </c>
      <c r="C27" s="419"/>
      <c r="D27" s="419"/>
      <c r="E27" s="419"/>
      <c r="F27" s="419"/>
      <c r="G27" s="419"/>
      <c r="H27" s="419"/>
      <c r="I27" s="419"/>
      <c r="J27" s="419"/>
      <c r="K27" s="370"/>
      <c r="L27" s="370"/>
      <c r="M27" s="370"/>
      <c r="N27" s="370"/>
      <c r="O27" s="370"/>
      <c r="P27" s="370"/>
      <c r="Q27" s="370"/>
      <c r="R27" s="370"/>
      <c r="S27" s="370"/>
      <c r="T27" s="370"/>
      <c r="U27" s="370"/>
      <c r="V27" s="370"/>
      <c r="W27" s="370"/>
      <c r="X27" s="370"/>
      <c r="Y27" s="370"/>
    </row>
    <row r="28" spans="1:25" s="334" customFormat="1">
      <c r="A28"/>
      <c r="B28" s="420" t="s">
        <v>287</v>
      </c>
      <c r="C28" s="421"/>
      <c r="D28" s="421"/>
      <c r="E28" s="421"/>
      <c r="F28" s="421"/>
      <c r="G28" s="421"/>
      <c r="H28" s="421"/>
      <c r="I28" s="421"/>
      <c r="J28" s="421"/>
      <c r="K28" s="370"/>
      <c r="L28" s="370"/>
      <c r="M28" s="370"/>
      <c r="N28" s="370"/>
      <c r="O28" s="370"/>
      <c r="P28" s="370"/>
      <c r="Q28" s="370"/>
      <c r="R28" s="370"/>
      <c r="S28" s="370"/>
      <c r="T28" s="370"/>
      <c r="U28" s="370"/>
      <c r="V28" s="370"/>
      <c r="W28" s="370"/>
      <c r="X28" s="370"/>
      <c r="Y28" s="370"/>
    </row>
    <row r="29" spans="1:25" ht="15.75" thickBot="1">
      <c r="B29" s="427"/>
      <c r="C29" s="428" t="s">
        <v>454</v>
      </c>
      <c r="D29" s="428" t="s">
        <v>455</v>
      </c>
      <c r="E29" s="428" t="s">
        <v>456</v>
      </c>
      <c r="F29" s="428" t="s">
        <v>457</v>
      </c>
      <c r="G29" s="442">
        <v>2016</v>
      </c>
      <c r="H29" s="428" t="s">
        <v>458</v>
      </c>
      <c r="I29" s="428" t="s">
        <v>459</v>
      </c>
      <c r="J29" s="442" t="s">
        <v>540</v>
      </c>
    </row>
    <row r="30" spans="1:25">
      <c r="B30" s="399" t="s">
        <v>187</v>
      </c>
      <c r="C30" s="424">
        <v>706.52542416403548</v>
      </c>
      <c r="D30" s="424">
        <v>771.71174495072364</v>
      </c>
      <c r="E30" s="424">
        <v>877.52057948754691</v>
      </c>
      <c r="F30" s="424">
        <v>928.86645567392725</v>
      </c>
      <c r="G30" s="443">
        <v>3284.6242042762333</v>
      </c>
      <c r="H30" s="424">
        <v>1136.4121158382579</v>
      </c>
      <c r="I30" s="424">
        <v>1007.2091726993183</v>
      </c>
      <c r="J30" s="443">
        <v>916</v>
      </c>
    </row>
    <row r="31" spans="1:25">
      <c r="B31" s="399" t="s">
        <v>188</v>
      </c>
      <c r="C31" s="424">
        <v>3797.4046434409888</v>
      </c>
      <c r="D31" s="424">
        <v>4432.3962698606319</v>
      </c>
      <c r="E31" s="424">
        <v>4941.1004030856766</v>
      </c>
      <c r="F31" s="424">
        <v>5145</v>
      </c>
      <c r="G31" s="443">
        <v>18316</v>
      </c>
      <c r="H31" s="424">
        <v>5118.6375148863171</v>
      </c>
      <c r="I31" s="424">
        <v>4859.1098314357587</v>
      </c>
      <c r="J31" s="443">
        <v>4387</v>
      </c>
    </row>
    <row r="32" spans="1:25">
      <c r="B32" s="469" t="s">
        <v>190</v>
      </c>
      <c r="C32" s="474">
        <v>2815.5095207934874</v>
      </c>
      <c r="D32" s="474">
        <v>3669.2999487845964</v>
      </c>
      <c r="E32" s="474">
        <v>4025.5299332498853</v>
      </c>
      <c r="F32" s="474">
        <v>4119.8557666001107</v>
      </c>
      <c r="G32" s="483">
        <v>14630.19516942808</v>
      </c>
      <c r="H32" s="474">
        <v>3913.0278387920425</v>
      </c>
      <c r="I32" s="474">
        <v>3819.5169790629134</v>
      </c>
      <c r="J32" s="483">
        <v>3227</v>
      </c>
    </row>
    <row r="33" spans="1:25">
      <c r="B33" s="469" t="s">
        <v>191</v>
      </c>
      <c r="C33" s="474">
        <v>1005.7715341539997</v>
      </c>
      <c r="D33" s="474">
        <v>784.67990956953554</v>
      </c>
      <c r="E33" s="474">
        <v>936.86374661921491</v>
      </c>
      <c r="F33" s="474">
        <v>1051.9333158967443</v>
      </c>
      <c r="G33" s="483">
        <v>3779.2485062394944</v>
      </c>
      <c r="H33" s="474">
        <v>1236.2507654622063</v>
      </c>
      <c r="I33" s="474">
        <v>1057.9746477859157</v>
      </c>
      <c r="J33" s="483">
        <v>1190</v>
      </c>
    </row>
    <row r="34" spans="1:25">
      <c r="B34" s="500" t="s">
        <v>211</v>
      </c>
      <c r="C34" s="474">
        <v>-23.876411506497519</v>
      </c>
      <c r="D34" s="474">
        <v>-21.583588493502482</v>
      </c>
      <c r="E34" s="474">
        <v>-21.293276783422264</v>
      </c>
      <c r="F34" s="474">
        <v>-27</v>
      </c>
      <c r="G34" s="483">
        <v>-93</v>
      </c>
      <c r="H34" s="474">
        <v>-30.641089367931102</v>
      </c>
      <c r="I34" s="474">
        <v>-18.381795413070826</v>
      </c>
      <c r="J34" s="483">
        <v>-30</v>
      </c>
    </row>
    <row r="35" spans="1:25">
      <c r="B35" s="399" t="s">
        <v>38</v>
      </c>
      <c r="C35" s="424">
        <v>91.191623954494304</v>
      </c>
      <c r="D35" s="424">
        <v>84.334496949486038</v>
      </c>
      <c r="E35" s="424">
        <v>85.763281963839944</v>
      </c>
      <c r="F35" s="424">
        <v>108.92370577697687</v>
      </c>
      <c r="G35" s="443">
        <v>370.21310864479716</v>
      </c>
      <c r="H35" s="424">
        <v>90.792988242343029</v>
      </c>
      <c r="I35" s="424">
        <v>89.223678458357739</v>
      </c>
      <c r="J35" s="443">
        <v>84</v>
      </c>
    </row>
    <row r="36" spans="1:25" ht="15.75" thickBot="1">
      <c r="B36" s="425" t="s">
        <v>39</v>
      </c>
      <c r="C36" s="426">
        <v>4595.1216915595187</v>
      </c>
      <c r="D36" s="426">
        <v>5288.4425117608398</v>
      </c>
      <c r="E36" s="426">
        <v>5904.3842645370642</v>
      </c>
      <c r="F36" s="426">
        <v>6183</v>
      </c>
      <c r="G36" s="527">
        <v>21971</v>
      </c>
      <c r="H36" s="426">
        <v>6345.8426189669181</v>
      </c>
      <c r="I36" s="426">
        <v>5955.5426825934364</v>
      </c>
      <c r="J36" s="527">
        <v>5386</v>
      </c>
    </row>
    <row r="37" spans="1:25" s="334" customFormat="1">
      <c r="A37"/>
      <c r="B37" s="370"/>
      <c r="C37" s="370"/>
      <c r="D37" s="370"/>
      <c r="E37" s="370"/>
      <c r="F37" s="370"/>
      <c r="G37" s="370"/>
      <c r="H37" s="370"/>
      <c r="I37" s="370"/>
      <c r="J37" s="370"/>
      <c r="K37" s="370"/>
      <c r="L37" s="370"/>
      <c r="M37" s="370"/>
      <c r="N37" s="370"/>
      <c r="O37" s="370"/>
      <c r="P37" s="370"/>
      <c r="Q37" s="370"/>
      <c r="R37" s="370"/>
      <c r="S37" s="370"/>
      <c r="T37" s="370"/>
      <c r="U37" s="370"/>
      <c r="V37" s="370"/>
      <c r="W37" s="370"/>
      <c r="X37" s="370"/>
      <c r="Y37" s="370"/>
    </row>
    <row r="38" spans="1:25" s="334" customFormat="1" ht="15.75" thickBot="1">
      <c r="A38"/>
      <c r="B38" s="419" t="s">
        <v>152</v>
      </c>
      <c r="C38" s="419"/>
      <c r="D38" s="419"/>
      <c r="E38" s="419"/>
      <c r="F38" s="419"/>
      <c r="G38" s="419"/>
      <c r="H38" s="419"/>
      <c r="I38" s="419"/>
      <c r="J38" s="419"/>
      <c r="K38" s="370"/>
      <c r="L38" s="370"/>
      <c r="M38" s="370"/>
      <c r="N38" s="370"/>
      <c r="O38" s="370"/>
      <c r="P38" s="370"/>
      <c r="Q38" s="370"/>
      <c r="R38" s="370"/>
      <c r="S38" s="370"/>
      <c r="T38" s="370"/>
      <c r="U38" s="370"/>
      <c r="V38" s="370"/>
      <c r="W38" s="370"/>
      <c r="X38" s="370"/>
      <c r="Y38" s="370"/>
    </row>
    <row r="39" spans="1:25">
      <c r="B39" s="420" t="s">
        <v>287</v>
      </c>
      <c r="C39" s="421"/>
      <c r="D39" s="421"/>
      <c r="E39" s="421"/>
      <c r="F39" s="421"/>
      <c r="G39" s="421"/>
      <c r="H39" s="421"/>
      <c r="I39" s="421"/>
      <c r="J39" s="421"/>
    </row>
    <row r="40" spans="1:25" ht="15.75" thickBot="1">
      <c r="B40" s="427"/>
      <c r="C40" s="428" t="s">
        <v>454</v>
      </c>
      <c r="D40" s="428" t="s">
        <v>455</v>
      </c>
      <c r="E40" s="428" t="s">
        <v>456</v>
      </c>
      <c r="F40" s="428" t="s">
        <v>457</v>
      </c>
      <c r="G40" s="442">
        <v>2016</v>
      </c>
      <c r="H40" s="428" t="s">
        <v>458</v>
      </c>
      <c r="I40" s="428" t="s">
        <v>459</v>
      </c>
      <c r="J40" s="442" t="s">
        <v>540</v>
      </c>
    </row>
    <row r="41" spans="1:25">
      <c r="B41" s="399" t="s">
        <v>431</v>
      </c>
      <c r="C41" s="424">
        <v>-102</v>
      </c>
      <c r="D41" s="424">
        <v>-600</v>
      </c>
      <c r="E41" s="424">
        <v>-316</v>
      </c>
      <c r="F41" s="424">
        <v>-28</v>
      </c>
      <c r="G41" s="443">
        <v>-1046</v>
      </c>
      <c r="H41" s="424">
        <v>508</v>
      </c>
      <c r="I41" s="424">
        <v>169</v>
      </c>
      <c r="J41" s="443">
        <v>247</v>
      </c>
    </row>
    <row r="42" spans="1:25">
      <c r="B42" s="399" t="s">
        <v>425</v>
      </c>
      <c r="C42" s="424">
        <v>232</v>
      </c>
      <c r="D42" s="424">
        <v>476</v>
      </c>
      <c r="E42" s="424">
        <v>489</v>
      </c>
      <c r="F42" s="424">
        <v>-90</v>
      </c>
      <c r="G42" s="443">
        <v>1106</v>
      </c>
      <c r="H42" s="424">
        <v>540</v>
      </c>
      <c r="I42" s="424">
        <v>-857</v>
      </c>
      <c r="J42" s="443">
        <v>517</v>
      </c>
    </row>
    <row r="43" spans="1:25">
      <c r="B43" s="500" t="s">
        <v>433</v>
      </c>
      <c r="C43" s="474">
        <v>241</v>
      </c>
      <c r="D43" s="474">
        <v>400</v>
      </c>
      <c r="E43" s="474">
        <v>418</v>
      </c>
      <c r="F43" s="474">
        <v>85</v>
      </c>
      <c r="G43" s="483">
        <v>1145</v>
      </c>
      <c r="H43" s="474">
        <v>453</v>
      </c>
      <c r="I43" s="474">
        <v>-892</v>
      </c>
      <c r="J43" s="483">
        <v>459</v>
      </c>
    </row>
    <row r="44" spans="1:25">
      <c r="B44" s="469" t="s">
        <v>432</v>
      </c>
      <c r="C44" s="474">
        <v>-10</v>
      </c>
      <c r="D44" s="474">
        <v>75</v>
      </c>
      <c r="E44" s="474">
        <v>71</v>
      </c>
      <c r="F44" s="474">
        <v>-175</v>
      </c>
      <c r="G44" s="483">
        <v>-38</v>
      </c>
      <c r="H44" s="474">
        <v>87</v>
      </c>
      <c r="I44" s="474">
        <v>35</v>
      </c>
      <c r="J44" s="483">
        <v>57</v>
      </c>
    </row>
    <row r="45" spans="1:25">
      <c r="B45" s="399" t="s">
        <v>426</v>
      </c>
      <c r="C45" s="424">
        <v>-4</v>
      </c>
      <c r="D45" s="424">
        <v>-15</v>
      </c>
      <c r="E45" s="424">
        <v>-8</v>
      </c>
      <c r="F45" s="424">
        <v>-29</v>
      </c>
      <c r="G45" s="443">
        <v>-56</v>
      </c>
      <c r="H45" s="424">
        <v>-16</v>
      </c>
      <c r="I45" s="424">
        <v>-14</v>
      </c>
      <c r="J45" s="443">
        <v>-5</v>
      </c>
    </row>
    <row r="46" spans="1:25">
      <c r="B46" s="399" t="s">
        <v>429</v>
      </c>
      <c r="C46" s="424">
        <v>125</v>
      </c>
      <c r="D46" s="424">
        <v>-139</v>
      </c>
      <c r="E46" s="424">
        <v>166</v>
      </c>
      <c r="F46" s="424">
        <v>-148</v>
      </c>
      <c r="G46" s="443">
        <v>4</v>
      </c>
      <c r="H46" s="424">
        <v>1032</v>
      </c>
      <c r="I46" s="424">
        <v>-702</v>
      </c>
      <c r="J46" s="443">
        <v>758</v>
      </c>
    </row>
    <row r="47" spans="1:25">
      <c r="B47" s="399" t="s">
        <v>43</v>
      </c>
      <c r="C47" s="529">
        <v>18</v>
      </c>
      <c r="D47" s="529">
        <v>-44</v>
      </c>
      <c r="E47" s="529">
        <v>11</v>
      </c>
      <c r="F47" s="529">
        <v>-21</v>
      </c>
      <c r="G47" s="530">
        <v>-36</v>
      </c>
      <c r="H47" s="529">
        <v>5</v>
      </c>
      <c r="I47" s="529">
        <v>8</v>
      </c>
      <c r="J47" s="530">
        <v>0</v>
      </c>
    </row>
    <row r="48" spans="1:25">
      <c r="B48" s="399" t="s">
        <v>434</v>
      </c>
      <c r="C48" s="424">
        <v>143</v>
      </c>
      <c r="D48" s="424">
        <v>-183</v>
      </c>
      <c r="E48" s="424">
        <v>177</v>
      </c>
      <c r="F48" s="424">
        <v>-169</v>
      </c>
      <c r="G48" s="443">
        <v>-32</v>
      </c>
      <c r="H48" s="424">
        <v>1037</v>
      </c>
      <c r="I48" s="424">
        <v>-694</v>
      </c>
      <c r="J48" s="443">
        <v>758</v>
      </c>
    </row>
    <row r="49" spans="1:25">
      <c r="B49" s="399" t="s">
        <v>30</v>
      </c>
      <c r="C49" s="424">
        <v>-55</v>
      </c>
      <c r="D49" s="424">
        <v>-45</v>
      </c>
      <c r="E49" s="424">
        <v>-39</v>
      </c>
      <c r="F49" s="424">
        <v>-59</v>
      </c>
      <c r="G49" s="443">
        <v>-198</v>
      </c>
      <c r="H49" s="424">
        <v>-49</v>
      </c>
      <c r="I49" s="424">
        <v>-62</v>
      </c>
      <c r="J49" s="443">
        <v>-66</v>
      </c>
    </row>
    <row r="50" spans="1:25" ht="15.75" thickBot="1">
      <c r="B50" s="425" t="s">
        <v>412</v>
      </c>
      <c r="C50" s="426">
        <v>88</v>
      </c>
      <c r="D50" s="426">
        <v>-228</v>
      </c>
      <c r="E50" s="426">
        <v>138</v>
      </c>
      <c r="F50" s="426">
        <v>-228</v>
      </c>
      <c r="G50" s="527">
        <v>-230</v>
      </c>
      <c r="H50" s="426">
        <v>988</v>
      </c>
      <c r="I50" s="426">
        <v>-756</v>
      </c>
      <c r="J50" s="527">
        <v>692</v>
      </c>
    </row>
    <row r="51" spans="1:25" s="334" customFormat="1">
      <c r="A51"/>
      <c r="B51" s="434"/>
      <c r="C51" s="429"/>
      <c r="D51" s="429"/>
      <c r="E51" s="429"/>
      <c r="F51" s="429"/>
      <c r="G51" s="429"/>
      <c r="H51" s="429"/>
      <c r="I51" s="434"/>
      <c r="J51" s="434"/>
      <c r="K51" s="370"/>
      <c r="L51" s="370"/>
      <c r="M51" s="370"/>
      <c r="N51" s="370"/>
      <c r="O51" s="370"/>
      <c r="P51" s="370"/>
      <c r="Q51" s="370"/>
      <c r="R51" s="370"/>
      <c r="S51" s="370"/>
      <c r="T51" s="370"/>
      <c r="U51" s="370"/>
      <c r="V51" s="370"/>
      <c r="W51" s="370"/>
      <c r="X51" s="370"/>
      <c r="Y51" s="370"/>
    </row>
    <row r="52" spans="1:25" s="334" customFormat="1">
      <c r="A52"/>
      <c r="B52" s="434"/>
      <c r="C52" s="434"/>
      <c r="D52" s="434"/>
      <c r="E52" s="434"/>
      <c r="F52" s="434"/>
      <c r="G52" s="434"/>
      <c r="H52" s="434"/>
      <c r="I52" s="434"/>
      <c r="J52" s="434"/>
      <c r="K52" s="370"/>
      <c r="L52" s="370"/>
      <c r="M52" s="370"/>
      <c r="N52" s="370"/>
      <c r="O52" s="370"/>
      <c r="P52" s="370"/>
      <c r="Q52" s="370"/>
      <c r="R52" s="370"/>
      <c r="S52" s="370"/>
      <c r="T52" s="370"/>
      <c r="U52" s="370"/>
      <c r="V52" s="370"/>
      <c r="W52" s="370"/>
      <c r="X52" s="370"/>
      <c r="Y52" s="370"/>
    </row>
    <row r="53" spans="1:25" s="334" customFormat="1">
      <c r="A53"/>
      <c r="B53" s="434"/>
      <c r="C53" s="434"/>
      <c r="D53" s="434"/>
      <c r="E53" s="434"/>
      <c r="F53" s="434"/>
      <c r="G53" s="434"/>
      <c r="H53" s="434"/>
      <c r="I53" s="434"/>
      <c r="J53" s="434"/>
      <c r="K53" s="370"/>
      <c r="L53" s="370"/>
      <c r="M53" s="370"/>
      <c r="N53" s="370"/>
      <c r="O53" s="370"/>
      <c r="P53" s="370"/>
      <c r="Q53" s="370"/>
      <c r="R53" s="370"/>
      <c r="S53" s="370"/>
      <c r="T53" s="370"/>
      <c r="U53" s="370"/>
      <c r="V53" s="370"/>
      <c r="W53" s="370"/>
      <c r="X53" s="370"/>
      <c r="Y53" s="370"/>
    </row>
    <row r="54" spans="1:25" s="334" customFormat="1">
      <c r="A54"/>
      <c r="B54" s="434"/>
      <c r="C54" s="434"/>
      <c r="D54" s="434"/>
      <c r="E54" s="434"/>
      <c r="F54" s="434"/>
      <c r="G54" s="434"/>
      <c r="H54" s="434"/>
      <c r="I54" s="434"/>
      <c r="J54" s="434"/>
      <c r="K54" s="370"/>
      <c r="L54" s="370"/>
      <c r="M54" s="370"/>
      <c r="N54" s="370"/>
      <c r="O54" s="370"/>
      <c r="P54" s="370"/>
      <c r="Q54" s="370"/>
      <c r="R54" s="370"/>
      <c r="S54" s="370"/>
      <c r="T54" s="370"/>
      <c r="U54" s="370"/>
      <c r="V54" s="370"/>
      <c r="W54" s="370"/>
      <c r="X54" s="370"/>
      <c r="Y54" s="370"/>
    </row>
    <row r="55" spans="1:25" s="334" customFormat="1" ht="18" thickBot="1">
      <c r="A55"/>
      <c r="B55" s="471" t="s">
        <v>486</v>
      </c>
      <c r="C55" s="430"/>
      <c r="D55" s="430"/>
      <c r="E55" s="430"/>
      <c r="F55" s="430"/>
      <c r="G55" s="430"/>
      <c r="H55" s="430"/>
      <c r="I55" s="430"/>
      <c r="J55" s="430"/>
      <c r="K55" s="370"/>
      <c r="L55" s="370"/>
      <c r="M55" s="370"/>
      <c r="N55" s="370"/>
      <c r="O55" s="370"/>
      <c r="P55" s="370"/>
      <c r="Q55" s="370"/>
      <c r="R55" s="370"/>
      <c r="S55" s="370"/>
      <c r="T55" s="370"/>
      <c r="U55" s="370"/>
      <c r="V55" s="370"/>
      <c r="W55" s="370"/>
      <c r="X55" s="370"/>
      <c r="Y55" s="370"/>
    </row>
    <row r="56" spans="1:25" s="334" customFormat="1">
      <c r="A56"/>
      <c r="B56" s="420" t="s">
        <v>287</v>
      </c>
      <c r="C56" s="431"/>
      <c r="D56" s="431"/>
      <c r="E56" s="431"/>
      <c r="F56" s="431"/>
      <c r="G56" s="431"/>
      <c r="H56" s="431"/>
      <c r="I56" s="431"/>
      <c r="J56" s="431"/>
      <c r="K56" s="370"/>
      <c r="L56" s="370"/>
      <c r="M56" s="370"/>
      <c r="N56" s="370"/>
      <c r="O56" s="370"/>
      <c r="P56" s="370"/>
      <c r="Q56" s="370"/>
      <c r="R56" s="370"/>
      <c r="S56" s="370"/>
      <c r="T56" s="370"/>
      <c r="U56" s="370"/>
      <c r="V56" s="370"/>
      <c r="W56" s="370"/>
      <c r="X56" s="370"/>
      <c r="Y56" s="370"/>
    </row>
    <row r="57" spans="1:25" s="334" customFormat="1" ht="15.75" thickBot="1">
      <c r="A57"/>
      <c r="B57" s="432"/>
      <c r="C57" s="433"/>
      <c r="D57" s="433" t="s">
        <v>471</v>
      </c>
      <c r="E57" s="433" t="s">
        <v>472</v>
      </c>
      <c r="F57" s="433" t="s">
        <v>473</v>
      </c>
      <c r="G57" s="528" t="s">
        <v>465</v>
      </c>
      <c r="H57" s="433" t="s">
        <v>460</v>
      </c>
      <c r="I57" s="433" t="s">
        <v>464</v>
      </c>
      <c r="J57" s="528" t="s">
        <v>541</v>
      </c>
      <c r="K57" s="370"/>
      <c r="L57" s="370"/>
      <c r="M57" s="370"/>
      <c r="N57" s="370"/>
      <c r="O57" s="370"/>
      <c r="P57" s="370"/>
      <c r="Q57" s="370"/>
      <c r="R57" s="370"/>
      <c r="S57" s="370"/>
      <c r="T57" s="370"/>
      <c r="U57" s="370"/>
      <c r="V57" s="370"/>
      <c r="W57" s="370"/>
      <c r="X57" s="370"/>
      <c r="Y57" s="370"/>
    </row>
    <row r="58" spans="1:25" s="334" customFormat="1">
      <c r="A58"/>
      <c r="B58" s="434" t="s">
        <v>187</v>
      </c>
      <c r="C58" s="424"/>
      <c r="D58" s="424">
        <v>12971</v>
      </c>
      <c r="E58" s="424">
        <v>12250</v>
      </c>
      <c r="F58" s="424">
        <v>11174</v>
      </c>
      <c r="G58" s="443">
        <v>11250</v>
      </c>
      <c r="H58" s="424">
        <v>11060</v>
      </c>
      <c r="I58" s="424">
        <v>10697</v>
      </c>
      <c r="J58" s="443">
        <v>10483</v>
      </c>
      <c r="K58" s="370"/>
      <c r="L58" s="370"/>
      <c r="M58" s="370"/>
      <c r="N58" s="370"/>
      <c r="O58" s="370"/>
      <c r="P58" s="370"/>
      <c r="Q58" s="370"/>
      <c r="R58" s="370"/>
      <c r="S58" s="370"/>
      <c r="T58" s="370"/>
      <c r="U58" s="370"/>
      <c r="V58" s="370"/>
      <c r="W58" s="370"/>
      <c r="X58" s="370"/>
      <c r="Y58" s="370"/>
    </row>
    <row r="59" spans="1:25" s="334" customFormat="1">
      <c r="A59"/>
      <c r="B59" s="434" t="s">
        <v>188</v>
      </c>
      <c r="C59" s="424"/>
      <c r="D59" s="424">
        <v>6418</v>
      </c>
      <c r="E59" s="424">
        <v>6442</v>
      </c>
      <c r="F59" s="424">
        <v>6220</v>
      </c>
      <c r="G59" s="443">
        <v>4915</v>
      </c>
      <c r="H59" s="424">
        <v>4826</v>
      </c>
      <c r="I59" s="424">
        <v>4853</v>
      </c>
      <c r="J59" s="443">
        <v>4800</v>
      </c>
      <c r="K59" s="370"/>
      <c r="L59" s="370"/>
      <c r="M59" s="370"/>
      <c r="N59" s="370"/>
      <c r="O59" s="370"/>
      <c r="P59" s="370"/>
      <c r="Q59" s="370"/>
      <c r="R59" s="370"/>
      <c r="S59" s="370"/>
      <c r="T59" s="370"/>
      <c r="U59" s="370"/>
      <c r="V59" s="370"/>
      <c r="W59" s="370"/>
      <c r="X59" s="370"/>
      <c r="Y59" s="370"/>
    </row>
    <row r="60" spans="1:25" s="334" customFormat="1">
      <c r="A60"/>
      <c r="B60" s="469" t="s">
        <v>190</v>
      </c>
      <c r="C60" s="474"/>
      <c r="D60" s="474">
        <v>4932</v>
      </c>
      <c r="E60" s="474">
        <v>4976</v>
      </c>
      <c r="F60" s="474">
        <v>4814</v>
      </c>
      <c r="G60" s="483">
        <v>3710</v>
      </c>
      <c r="H60" s="474">
        <v>3645</v>
      </c>
      <c r="I60" s="474">
        <v>3681</v>
      </c>
      <c r="J60" s="483">
        <v>3652</v>
      </c>
      <c r="K60" s="370"/>
      <c r="L60" s="370"/>
      <c r="M60" s="370"/>
      <c r="N60" s="370"/>
      <c r="O60" s="370"/>
      <c r="P60" s="370"/>
      <c r="Q60" s="370"/>
      <c r="R60" s="370"/>
      <c r="S60" s="370"/>
      <c r="T60" s="370"/>
      <c r="U60" s="370"/>
      <c r="V60" s="370"/>
      <c r="W60" s="370"/>
      <c r="X60" s="370"/>
      <c r="Y60" s="370"/>
    </row>
    <row r="61" spans="1:25" s="334" customFormat="1">
      <c r="A61"/>
      <c r="B61" s="469" t="s">
        <v>191</v>
      </c>
      <c r="C61" s="474"/>
      <c r="D61" s="474">
        <v>1486</v>
      </c>
      <c r="E61" s="474">
        <v>1466</v>
      </c>
      <c r="F61" s="474">
        <v>1406</v>
      </c>
      <c r="G61" s="483">
        <v>1205</v>
      </c>
      <c r="H61" s="474">
        <v>1181</v>
      </c>
      <c r="I61" s="474">
        <v>1172</v>
      </c>
      <c r="J61" s="483">
        <v>1148</v>
      </c>
      <c r="K61" s="370"/>
      <c r="L61" s="370"/>
      <c r="M61" s="370"/>
      <c r="N61" s="370"/>
      <c r="O61" s="370"/>
      <c r="P61" s="370"/>
      <c r="Q61" s="370"/>
      <c r="R61" s="370"/>
      <c r="S61" s="370"/>
      <c r="T61" s="370"/>
      <c r="U61" s="370"/>
      <c r="V61" s="370"/>
      <c r="W61" s="370"/>
      <c r="X61" s="370"/>
      <c r="Y61" s="370"/>
    </row>
    <row r="62" spans="1:25" s="334" customFormat="1">
      <c r="A62"/>
      <c r="B62" s="399" t="s">
        <v>38</v>
      </c>
      <c r="C62" s="424"/>
      <c r="D62" s="424">
        <v>182</v>
      </c>
      <c r="E62" s="424">
        <v>174</v>
      </c>
      <c r="F62" s="424">
        <v>169</v>
      </c>
      <c r="G62" s="443">
        <v>161</v>
      </c>
      <c r="H62" s="424">
        <v>156</v>
      </c>
      <c r="I62" s="424">
        <v>151</v>
      </c>
      <c r="J62" s="443">
        <v>145</v>
      </c>
      <c r="K62" s="370"/>
      <c r="L62" s="370"/>
      <c r="M62" s="370"/>
      <c r="N62" s="370"/>
      <c r="O62" s="370"/>
      <c r="P62" s="370"/>
      <c r="Q62" s="370"/>
      <c r="R62" s="370"/>
      <c r="S62" s="370"/>
      <c r="T62" s="370"/>
      <c r="U62" s="370"/>
      <c r="V62" s="370"/>
      <c r="W62" s="370"/>
      <c r="X62" s="370"/>
      <c r="Y62" s="370"/>
    </row>
    <row r="63" spans="1:25" s="334" customFormat="1" ht="15.75" thickBot="1">
      <c r="A63"/>
      <c r="B63" s="422" t="s">
        <v>45</v>
      </c>
      <c r="C63" s="426"/>
      <c r="D63" s="426">
        <v>19572</v>
      </c>
      <c r="E63" s="426">
        <v>18865</v>
      </c>
      <c r="F63" s="426">
        <v>17563</v>
      </c>
      <c r="G63" s="527">
        <v>16326</v>
      </c>
      <c r="H63" s="426">
        <v>16042</v>
      </c>
      <c r="I63" s="426">
        <v>15700</v>
      </c>
      <c r="J63" s="527">
        <v>15428</v>
      </c>
      <c r="K63" s="370"/>
      <c r="L63" s="370"/>
      <c r="M63" s="370"/>
      <c r="N63" s="370"/>
      <c r="O63" s="370"/>
      <c r="P63" s="370"/>
      <c r="Q63" s="370"/>
      <c r="R63" s="370"/>
      <c r="S63" s="370"/>
      <c r="T63" s="370"/>
      <c r="U63" s="370"/>
      <c r="V63" s="370"/>
      <c r="W63" s="370"/>
      <c r="X63" s="370"/>
      <c r="Y63" s="370"/>
    </row>
    <row r="64" spans="1:25" s="334" customFormat="1">
      <c r="A64"/>
      <c r="B64" s="429"/>
      <c r="C64" s="370"/>
      <c r="D64" s="370"/>
      <c r="E64" s="370"/>
      <c r="F64" s="370"/>
      <c r="G64" s="370"/>
      <c r="H64" s="370"/>
      <c r="I64" s="370"/>
      <c r="J64" s="370"/>
      <c r="K64" s="370"/>
      <c r="L64" s="370"/>
      <c r="M64" s="370"/>
      <c r="N64" s="370"/>
      <c r="O64" s="370"/>
      <c r="P64" s="370"/>
      <c r="Q64" s="370"/>
      <c r="R64" s="370"/>
      <c r="S64" s="370"/>
      <c r="T64" s="370"/>
      <c r="U64" s="370"/>
      <c r="V64" s="370"/>
      <c r="W64" s="370"/>
      <c r="X64" s="370"/>
      <c r="Y64" s="370"/>
    </row>
    <row r="65" spans="1:25" s="334" customFormat="1">
      <c r="A65"/>
      <c r="B65" s="685" t="s">
        <v>505</v>
      </c>
      <c r="C65" s="685"/>
      <c r="D65" s="685"/>
      <c r="E65" s="685"/>
      <c r="F65" s="685"/>
      <c r="G65" s="685"/>
      <c r="H65" s="685"/>
      <c r="I65" s="656"/>
      <c r="J65" s="370"/>
      <c r="K65" s="370"/>
      <c r="L65" s="370"/>
      <c r="M65" s="370"/>
      <c r="N65" s="370"/>
      <c r="O65" s="370"/>
      <c r="P65" s="370"/>
      <c r="Q65" s="370"/>
      <c r="R65" s="370"/>
      <c r="S65" s="370"/>
      <c r="T65" s="370"/>
      <c r="U65" s="370"/>
      <c r="V65" s="370"/>
      <c r="W65" s="370"/>
      <c r="X65" s="370"/>
      <c r="Y65" s="370"/>
    </row>
    <row r="66" spans="1:25" s="334" customFormat="1">
      <c r="A66"/>
      <c r="B66" s="370"/>
      <c r="C66" s="370"/>
      <c r="D66" s="370"/>
      <c r="E66" s="370"/>
      <c r="F66" s="370"/>
      <c r="G66" s="370"/>
      <c r="H66" s="370"/>
      <c r="I66" s="370"/>
      <c r="J66" s="370"/>
      <c r="K66" s="370"/>
      <c r="L66" s="370"/>
      <c r="M66" s="370"/>
      <c r="N66" s="370"/>
      <c r="O66" s="370"/>
      <c r="P66" s="370"/>
      <c r="Q66" s="370"/>
      <c r="R66" s="370"/>
      <c r="S66" s="370"/>
      <c r="T66" s="370"/>
      <c r="U66" s="370"/>
      <c r="V66" s="370"/>
      <c r="W66" s="370"/>
      <c r="X66" s="370"/>
      <c r="Y66" s="370"/>
    </row>
    <row r="67" spans="1:25" s="334" customFormat="1">
      <c r="A67"/>
      <c r="B67" s="370"/>
      <c r="C67" s="370"/>
      <c r="E67" s="370"/>
      <c r="F67" s="370"/>
      <c r="G67" s="370"/>
      <c r="H67" s="370"/>
      <c r="I67" s="370"/>
      <c r="J67" s="370"/>
      <c r="K67" s="370"/>
      <c r="L67" s="370"/>
      <c r="M67" s="370"/>
      <c r="N67" s="370"/>
      <c r="O67" s="370"/>
      <c r="P67" s="370"/>
      <c r="Q67" s="370"/>
      <c r="R67" s="370"/>
      <c r="S67" s="370"/>
      <c r="T67" s="370"/>
      <c r="U67" s="370"/>
      <c r="V67" s="370"/>
      <c r="W67" s="370"/>
      <c r="X67" s="370"/>
      <c r="Y67" s="370"/>
    </row>
    <row r="68" spans="1:25" s="334" customFormat="1">
      <c r="A68"/>
      <c r="B68" s="370"/>
      <c r="C68" s="370"/>
      <c r="D68" s="370"/>
      <c r="E68" s="370"/>
      <c r="F68" s="370"/>
      <c r="G68" s="370"/>
      <c r="H68" s="370"/>
      <c r="I68" s="370"/>
      <c r="J68" s="370"/>
      <c r="K68" s="370"/>
      <c r="L68" s="370"/>
      <c r="M68" s="370"/>
      <c r="N68" s="370"/>
      <c r="O68" s="370"/>
      <c r="P68" s="370"/>
      <c r="Q68" s="370"/>
      <c r="R68" s="370"/>
      <c r="S68" s="370"/>
      <c r="T68" s="370"/>
      <c r="U68" s="370"/>
      <c r="V68" s="370"/>
      <c r="W68" s="370"/>
      <c r="X68" s="370"/>
      <c r="Y68" s="370"/>
    </row>
    <row r="69" spans="1:25" s="334" customFormat="1">
      <c r="A69"/>
      <c r="B69" s="370"/>
      <c r="C69" s="370"/>
      <c r="D69" s="370"/>
      <c r="E69" s="370"/>
      <c r="F69" s="370"/>
      <c r="G69" s="370"/>
      <c r="H69" s="370"/>
      <c r="I69" s="370"/>
      <c r="J69" s="370"/>
      <c r="K69" s="370"/>
      <c r="L69" s="370"/>
      <c r="M69" s="370"/>
      <c r="N69" s="370"/>
      <c r="O69" s="370"/>
      <c r="P69" s="370"/>
      <c r="Q69" s="370"/>
      <c r="R69" s="370"/>
      <c r="S69" s="370"/>
      <c r="T69" s="370"/>
      <c r="U69" s="370"/>
      <c r="V69" s="370"/>
      <c r="W69" s="370"/>
      <c r="X69" s="370"/>
      <c r="Y69" s="370"/>
    </row>
    <row r="70" spans="1:25" s="334" customFormat="1">
      <c r="A70"/>
      <c r="B70" s="370"/>
      <c r="C70" s="370"/>
      <c r="D70" s="370"/>
      <c r="E70" s="370"/>
      <c r="F70" s="370"/>
      <c r="G70" s="370"/>
      <c r="H70" s="370"/>
      <c r="I70" s="370"/>
      <c r="J70" s="370"/>
      <c r="K70" s="370"/>
      <c r="L70" s="370"/>
      <c r="M70" s="370"/>
      <c r="N70" s="370"/>
      <c r="O70" s="370"/>
      <c r="P70" s="370"/>
      <c r="Q70" s="370"/>
      <c r="R70" s="370"/>
      <c r="S70" s="370"/>
      <c r="T70" s="370"/>
      <c r="U70" s="370"/>
      <c r="V70" s="370"/>
      <c r="W70" s="370"/>
      <c r="X70" s="370"/>
      <c r="Y70" s="370"/>
    </row>
    <row r="71" spans="1:25" s="334" customFormat="1">
      <c r="A71"/>
      <c r="B71" s="370"/>
      <c r="C71" s="370"/>
      <c r="D71" s="370"/>
      <c r="E71" s="370"/>
      <c r="F71" s="370"/>
      <c r="G71" s="370"/>
      <c r="H71" s="370"/>
      <c r="I71" s="370"/>
      <c r="J71" s="370"/>
      <c r="K71" s="370"/>
      <c r="L71" s="370"/>
      <c r="M71" s="370"/>
      <c r="N71" s="370"/>
      <c r="O71" s="370"/>
      <c r="P71" s="370"/>
      <c r="Q71" s="370"/>
      <c r="R71" s="370"/>
      <c r="S71" s="370"/>
      <c r="T71" s="370"/>
      <c r="U71" s="370"/>
      <c r="V71" s="370"/>
      <c r="W71" s="370"/>
      <c r="X71" s="370"/>
      <c r="Y71" s="370"/>
    </row>
    <row r="72" spans="1:25" s="334" customFormat="1">
      <c r="A72"/>
      <c r="B72" s="370"/>
      <c r="C72" s="370"/>
      <c r="D72" s="370"/>
      <c r="E72" s="370"/>
      <c r="F72" s="370"/>
      <c r="G72" s="370"/>
      <c r="H72" s="370"/>
      <c r="I72" s="370"/>
      <c r="J72" s="370"/>
      <c r="K72" s="370"/>
      <c r="L72" s="370"/>
      <c r="M72" s="370"/>
      <c r="N72" s="370"/>
      <c r="O72" s="370"/>
      <c r="P72" s="370"/>
      <c r="Q72" s="370"/>
      <c r="R72" s="370"/>
      <c r="S72" s="370"/>
      <c r="T72" s="370"/>
      <c r="U72" s="370"/>
      <c r="V72" s="370"/>
      <c r="W72" s="370"/>
      <c r="X72" s="370"/>
      <c r="Y72" s="370"/>
    </row>
    <row r="73" spans="1:25" s="334" customFormat="1">
      <c r="A73"/>
      <c r="B73" s="370"/>
      <c r="C73" s="370"/>
      <c r="D73" s="370"/>
      <c r="E73" s="370"/>
      <c r="F73" s="370"/>
      <c r="G73" s="370"/>
      <c r="H73" s="370"/>
      <c r="I73" s="370"/>
      <c r="J73" s="370"/>
      <c r="K73" s="370"/>
      <c r="L73" s="370"/>
      <c r="M73" s="370"/>
      <c r="N73" s="370"/>
      <c r="O73" s="370"/>
      <c r="P73" s="370"/>
      <c r="Q73" s="370"/>
      <c r="R73" s="370"/>
      <c r="S73" s="370"/>
      <c r="T73" s="370"/>
      <c r="U73" s="370"/>
      <c r="V73" s="370"/>
      <c r="W73" s="370"/>
      <c r="X73" s="370"/>
      <c r="Y73" s="370"/>
    </row>
    <row r="74" spans="1:25" s="334" customFormat="1">
      <c r="A74"/>
      <c r="B74" s="370"/>
      <c r="C74" s="370"/>
      <c r="D74" s="370"/>
      <c r="E74" s="370"/>
      <c r="F74" s="370"/>
      <c r="G74" s="370"/>
      <c r="H74" s="370"/>
      <c r="I74" s="370"/>
      <c r="J74" s="370"/>
      <c r="K74" s="370"/>
      <c r="L74" s="370"/>
      <c r="M74" s="370"/>
      <c r="N74" s="370"/>
      <c r="O74" s="370"/>
      <c r="P74" s="370"/>
      <c r="Q74" s="370"/>
      <c r="R74" s="370"/>
      <c r="S74" s="370"/>
      <c r="T74" s="370"/>
      <c r="U74" s="370"/>
      <c r="V74" s="370"/>
      <c r="W74" s="370"/>
      <c r="X74" s="370"/>
      <c r="Y74" s="370"/>
    </row>
    <row r="75" spans="1:25" s="334" customFormat="1">
      <c r="A75"/>
      <c r="B75" s="370"/>
      <c r="C75" s="370"/>
      <c r="D75" s="370"/>
      <c r="E75" s="370"/>
      <c r="F75" s="370"/>
      <c r="G75" s="370"/>
      <c r="H75" s="370"/>
      <c r="I75" s="370"/>
      <c r="J75" s="370"/>
      <c r="K75" s="370"/>
      <c r="L75" s="370"/>
      <c r="M75" s="370"/>
      <c r="N75" s="370"/>
      <c r="O75" s="370"/>
      <c r="P75" s="370"/>
      <c r="Q75" s="370"/>
      <c r="R75" s="370"/>
      <c r="S75" s="370"/>
      <c r="T75" s="370"/>
      <c r="U75" s="370"/>
      <c r="V75" s="370"/>
      <c r="W75" s="370"/>
      <c r="X75" s="370"/>
      <c r="Y75" s="370"/>
    </row>
    <row r="76" spans="1:25" s="334" customFormat="1">
      <c r="A76"/>
      <c r="B76" s="370"/>
      <c r="C76" s="370"/>
      <c r="D76" s="370"/>
      <c r="E76" s="370"/>
      <c r="F76" s="370"/>
      <c r="G76" s="370"/>
      <c r="H76" s="370"/>
      <c r="I76" s="370"/>
      <c r="J76" s="370"/>
      <c r="K76" s="370"/>
      <c r="L76" s="370"/>
      <c r="M76" s="370"/>
      <c r="N76" s="370"/>
      <c r="O76" s="370"/>
      <c r="P76" s="370"/>
      <c r="Q76" s="370"/>
      <c r="R76" s="370"/>
      <c r="S76" s="370"/>
      <c r="T76" s="370"/>
      <c r="U76" s="370"/>
      <c r="V76" s="370"/>
      <c r="W76" s="370"/>
      <c r="X76" s="370"/>
      <c r="Y76" s="370"/>
    </row>
    <row r="77" spans="1:25" s="334" customFormat="1">
      <c r="A77"/>
      <c r="B77" s="370"/>
      <c r="C77" s="370"/>
      <c r="D77" s="370"/>
      <c r="E77" s="370"/>
      <c r="F77" s="370"/>
      <c r="G77" s="370"/>
      <c r="H77" s="370"/>
      <c r="I77" s="370"/>
      <c r="J77" s="370"/>
      <c r="K77" s="370"/>
      <c r="L77" s="370"/>
      <c r="M77" s="370"/>
      <c r="N77" s="370"/>
      <c r="O77" s="370"/>
      <c r="P77" s="370"/>
      <c r="Q77" s="370"/>
      <c r="R77" s="370"/>
      <c r="S77" s="370"/>
      <c r="T77" s="370"/>
      <c r="U77" s="370"/>
      <c r="V77" s="370"/>
      <c r="W77" s="370"/>
      <c r="X77" s="370"/>
      <c r="Y77" s="370"/>
    </row>
    <row r="78" spans="1:25" s="334" customFormat="1">
      <c r="A78"/>
      <c r="B78" s="370"/>
      <c r="C78" s="370"/>
      <c r="D78" s="370"/>
      <c r="E78" s="370"/>
      <c r="F78" s="370"/>
      <c r="G78" s="370"/>
      <c r="H78" s="370"/>
      <c r="I78" s="370"/>
      <c r="J78" s="370"/>
      <c r="K78" s="370"/>
      <c r="L78" s="370"/>
      <c r="M78" s="370"/>
      <c r="N78" s="370"/>
      <c r="O78" s="370"/>
      <c r="P78" s="370"/>
      <c r="Q78" s="370"/>
      <c r="R78" s="370"/>
      <c r="S78" s="370"/>
      <c r="T78" s="370"/>
      <c r="U78" s="370"/>
      <c r="V78" s="370"/>
      <c r="W78" s="370"/>
      <c r="X78" s="370"/>
      <c r="Y78" s="370"/>
    </row>
    <row r="79" spans="1:25" s="334" customFormat="1">
      <c r="A79"/>
      <c r="B79" s="370"/>
      <c r="C79" s="370"/>
      <c r="D79" s="370"/>
      <c r="E79" s="370"/>
      <c r="F79" s="370"/>
      <c r="G79" s="370"/>
      <c r="H79" s="370"/>
      <c r="I79" s="370"/>
      <c r="J79" s="370"/>
      <c r="K79" s="370"/>
      <c r="L79" s="370"/>
      <c r="M79" s="370"/>
      <c r="N79" s="370"/>
      <c r="O79" s="370"/>
      <c r="P79" s="370"/>
      <c r="Q79" s="370"/>
      <c r="R79" s="370"/>
      <c r="S79" s="370"/>
      <c r="T79" s="370"/>
      <c r="U79" s="370"/>
      <c r="V79" s="370"/>
      <c r="W79" s="370"/>
      <c r="X79" s="370"/>
      <c r="Y79" s="370"/>
    </row>
    <row r="80" spans="1:25" s="334" customFormat="1">
      <c r="A80"/>
      <c r="B80" s="370"/>
      <c r="C80" s="370"/>
      <c r="D80" s="370"/>
      <c r="E80" s="370"/>
      <c r="F80" s="370"/>
      <c r="G80" s="370"/>
      <c r="H80" s="370"/>
      <c r="I80" s="370"/>
      <c r="J80" s="370"/>
      <c r="K80" s="370"/>
      <c r="L80" s="370"/>
      <c r="M80" s="370"/>
      <c r="N80" s="370"/>
      <c r="O80" s="370"/>
      <c r="P80" s="370"/>
      <c r="Q80" s="370"/>
      <c r="R80" s="370"/>
      <c r="S80" s="370"/>
      <c r="T80" s="370"/>
      <c r="U80" s="370"/>
      <c r="V80" s="370"/>
      <c r="W80" s="370"/>
      <c r="X80" s="370"/>
      <c r="Y80" s="370"/>
    </row>
    <row r="81" spans="1:25" s="334" customFormat="1">
      <c r="A81"/>
      <c r="B81" s="370"/>
      <c r="C81" s="370"/>
      <c r="D81" s="370"/>
      <c r="E81" s="370"/>
      <c r="F81" s="370"/>
      <c r="G81" s="370"/>
      <c r="H81" s="370"/>
      <c r="I81" s="370"/>
      <c r="J81" s="370"/>
      <c r="K81" s="370"/>
      <c r="L81" s="370"/>
      <c r="M81" s="370"/>
      <c r="N81" s="370"/>
      <c r="O81" s="370"/>
      <c r="P81" s="370"/>
      <c r="Q81" s="370"/>
      <c r="R81" s="370"/>
      <c r="S81" s="370"/>
      <c r="T81" s="370"/>
      <c r="U81" s="370"/>
      <c r="V81" s="370"/>
      <c r="W81" s="370"/>
      <c r="X81" s="370"/>
      <c r="Y81" s="370"/>
    </row>
  </sheetData>
  <mergeCells count="1">
    <mergeCell ref="B65:H65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59" fitToHeight="0" orientation="portrait" r:id="rId1"/>
  <headerFooter alignWithMargins="0">
    <oddHeader>&amp;CNovember 9, 2017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Y30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4.7109375" customWidth="1"/>
    <col min="2" max="2" width="45.7109375" style="370" customWidth="1"/>
    <col min="3" max="9" width="14.7109375" style="370" customWidth="1"/>
    <col min="10" max="19" width="11.42578125" style="370"/>
    <col min="20" max="16384" width="11.42578125" style="354"/>
  </cols>
  <sheetData>
    <row r="1" spans="1:25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  <c r="R1" s="524"/>
      <c r="S1" s="524"/>
    </row>
    <row r="2" spans="1:25" s="592" customFormat="1" ht="15.75">
      <c r="A2"/>
      <c r="B2" s="587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524"/>
      <c r="S2" s="524"/>
      <c r="T2" s="524"/>
      <c r="U2" s="524"/>
      <c r="V2" s="524"/>
      <c r="W2" s="524"/>
      <c r="X2" s="524"/>
      <c r="Y2" s="524"/>
    </row>
    <row r="3" spans="1:25" s="592" customFormat="1" ht="15.75">
      <c r="A3"/>
      <c r="B3" s="587"/>
      <c r="C3" s="524"/>
      <c r="D3" s="524"/>
      <c r="E3" s="524"/>
      <c r="F3" s="524"/>
      <c r="G3" s="524"/>
      <c r="H3" s="524"/>
      <c r="I3" s="524"/>
      <c r="J3" s="524"/>
      <c r="K3" s="524"/>
      <c r="L3" s="524"/>
      <c r="M3" s="524"/>
      <c r="N3" s="524"/>
      <c r="O3" s="524"/>
      <c r="P3" s="524"/>
      <c r="Q3" s="524"/>
      <c r="R3" s="524"/>
      <c r="S3" s="524"/>
    </row>
    <row r="4" spans="1:25" ht="15.75" thickBot="1">
      <c r="B4" s="419" t="s">
        <v>230</v>
      </c>
    </row>
    <row r="5" spans="1:25">
      <c r="B5" s="421" t="s">
        <v>287</v>
      </c>
      <c r="C5" s="421"/>
      <c r="D5" s="421"/>
      <c r="E5" s="421"/>
      <c r="F5" s="421"/>
      <c r="G5" s="421"/>
      <c r="H5" s="421"/>
      <c r="I5" s="421"/>
    </row>
    <row r="6" spans="1:25" ht="15.75" thickBot="1">
      <c r="B6" s="432"/>
      <c r="C6" s="433" t="s">
        <v>478</v>
      </c>
      <c r="D6" s="433" t="s">
        <v>462</v>
      </c>
      <c r="E6" s="433" t="s">
        <v>476</v>
      </c>
      <c r="F6" s="528">
        <v>2016</v>
      </c>
      <c r="G6" s="433" t="s">
        <v>477</v>
      </c>
      <c r="H6" s="433" t="s">
        <v>461</v>
      </c>
      <c r="I6" s="528" t="s">
        <v>538</v>
      </c>
    </row>
    <row r="7" spans="1:25" ht="15" customHeight="1">
      <c r="B7" s="480" t="s">
        <v>222</v>
      </c>
      <c r="C7" s="467"/>
      <c r="D7" s="467"/>
      <c r="E7" s="467"/>
      <c r="F7" s="512"/>
      <c r="G7" s="467"/>
      <c r="H7" s="467"/>
      <c r="I7" s="512"/>
    </row>
    <row r="8" spans="1:25" ht="15" customHeight="1">
      <c r="B8" s="620" t="s">
        <v>225</v>
      </c>
      <c r="C8" s="621">
        <v>227</v>
      </c>
      <c r="D8" s="621">
        <v>473</v>
      </c>
      <c r="E8" s="621">
        <v>731</v>
      </c>
      <c r="F8" s="622">
        <v>1015</v>
      </c>
      <c r="G8" s="621">
        <v>307</v>
      </c>
      <c r="H8" s="621">
        <v>490</v>
      </c>
      <c r="I8" s="622">
        <v>813</v>
      </c>
    </row>
    <row r="9" spans="1:25" ht="15" customHeight="1">
      <c r="B9" s="623" t="s">
        <v>226</v>
      </c>
      <c r="C9" s="621">
        <v>7</v>
      </c>
      <c r="D9" s="621">
        <v>15</v>
      </c>
      <c r="E9" s="621">
        <v>25</v>
      </c>
      <c r="F9" s="622">
        <v>35</v>
      </c>
      <c r="G9" s="621">
        <v>12</v>
      </c>
      <c r="H9" s="621">
        <v>20</v>
      </c>
      <c r="I9" s="622">
        <v>33</v>
      </c>
    </row>
    <row r="10" spans="1:25" ht="15" customHeight="1">
      <c r="B10" s="480" t="s">
        <v>223</v>
      </c>
      <c r="C10" s="621"/>
      <c r="D10" s="621"/>
      <c r="E10" s="621"/>
      <c r="F10" s="622"/>
      <c r="G10" s="621"/>
      <c r="H10" s="621"/>
      <c r="I10" s="622"/>
    </row>
    <row r="11" spans="1:25" ht="15" customHeight="1">
      <c r="B11" s="620" t="s">
        <v>225</v>
      </c>
      <c r="C11" s="624">
        <v>25</v>
      </c>
      <c r="D11" s="624">
        <v>57</v>
      </c>
      <c r="E11" s="624">
        <v>93</v>
      </c>
      <c r="F11" s="625">
        <v>137</v>
      </c>
      <c r="G11" s="624">
        <v>38</v>
      </c>
      <c r="H11" s="624">
        <v>78</v>
      </c>
      <c r="I11" s="625">
        <v>119</v>
      </c>
    </row>
    <row r="12" spans="1:25" ht="15" customHeight="1">
      <c r="B12" s="623" t="s">
        <v>226</v>
      </c>
      <c r="C12" s="624">
        <v>1</v>
      </c>
      <c r="D12" s="624">
        <v>1</v>
      </c>
      <c r="E12" s="624">
        <v>2</v>
      </c>
      <c r="F12" s="625">
        <v>2</v>
      </c>
      <c r="G12" s="624">
        <v>1</v>
      </c>
      <c r="H12" s="624">
        <v>1</v>
      </c>
      <c r="I12" s="625">
        <v>2</v>
      </c>
    </row>
    <row r="13" spans="1:25" ht="15" customHeight="1">
      <c r="B13" s="480" t="s">
        <v>224</v>
      </c>
      <c r="C13" s="621"/>
      <c r="D13" s="621"/>
      <c r="E13" s="621"/>
      <c r="F13" s="622"/>
      <c r="G13" s="621"/>
      <c r="H13" s="621"/>
      <c r="I13" s="622"/>
    </row>
    <row r="14" spans="1:25" ht="15" customHeight="1">
      <c r="B14" s="620" t="s">
        <v>225</v>
      </c>
      <c r="C14" s="621">
        <v>6</v>
      </c>
      <c r="D14" s="621">
        <v>24</v>
      </c>
      <c r="E14" s="621">
        <v>34</v>
      </c>
      <c r="F14" s="622">
        <v>46</v>
      </c>
      <c r="G14" s="621">
        <v>10</v>
      </c>
      <c r="H14" s="621">
        <v>19</v>
      </c>
      <c r="I14" s="622">
        <v>28</v>
      </c>
    </row>
    <row r="15" spans="1:25">
      <c r="B15" s="623" t="s">
        <v>226</v>
      </c>
      <c r="C15" s="621">
        <v>12</v>
      </c>
      <c r="D15" s="621">
        <v>26</v>
      </c>
      <c r="E15" s="621">
        <v>46</v>
      </c>
      <c r="F15" s="622">
        <v>62</v>
      </c>
      <c r="G15" s="621">
        <v>14</v>
      </c>
      <c r="H15" s="621">
        <v>26</v>
      </c>
      <c r="I15" s="622">
        <v>39</v>
      </c>
    </row>
    <row r="16" spans="1:25">
      <c r="B16" s="480" t="s">
        <v>229</v>
      </c>
      <c r="C16" s="621"/>
      <c r="D16" s="621"/>
      <c r="E16" s="621"/>
      <c r="F16" s="622"/>
      <c r="G16" s="621"/>
      <c r="H16" s="621"/>
      <c r="I16" s="622"/>
    </row>
    <row r="17" spans="2:9">
      <c r="B17" s="620" t="s">
        <v>225</v>
      </c>
      <c r="C17" s="621">
        <v>0</v>
      </c>
      <c r="D17" s="621">
        <v>0</v>
      </c>
      <c r="E17" s="621">
        <v>1</v>
      </c>
      <c r="F17" s="622">
        <v>2</v>
      </c>
      <c r="G17" s="621">
        <v>2</v>
      </c>
      <c r="H17" s="621">
        <v>3</v>
      </c>
      <c r="I17" s="622">
        <v>3</v>
      </c>
    </row>
    <row r="18" spans="2:9">
      <c r="B18" s="623" t="s">
        <v>226</v>
      </c>
      <c r="C18" s="621">
        <v>45</v>
      </c>
      <c r="D18" s="621">
        <v>83</v>
      </c>
      <c r="E18" s="621">
        <v>114</v>
      </c>
      <c r="F18" s="622">
        <v>157</v>
      </c>
      <c r="G18" s="621">
        <v>56</v>
      </c>
      <c r="H18" s="621">
        <v>88</v>
      </c>
      <c r="I18" s="622">
        <v>149</v>
      </c>
    </row>
    <row r="19" spans="2:9" ht="15" customHeight="1">
      <c r="B19" s="480" t="s">
        <v>444</v>
      </c>
      <c r="C19" s="621"/>
      <c r="D19" s="621"/>
      <c r="E19" s="621"/>
      <c r="F19" s="622"/>
      <c r="G19" s="621"/>
      <c r="H19" s="621"/>
      <c r="I19" s="622"/>
    </row>
    <row r="20" spans="2:9" ht="15" customHeight="1">
      <c r="B20" s="620" t="s">
        <v>225</v>
      </c>
      <c r="C20" s="621">
        <v>5</v>
      </c>
      <c r="D20" s="621">
        <v>10</v>
      </c>
      <c r="E20" s="621">
        <v>15</v>
      </c>
      <c r="F20" s="622">
        <v>36</v>
      </c>
      <c r="G20" s="621">
        <v>19</v>
      </c>
      <c r="H20" s="621">
        <v>20</v>
      </c>
      <c r="I20" s="622">
        <v>26</v>
      </c>
    </row>
    <row r="21" spans="2:9" ht="15" customHeight="1">
      <c r="B21" s="623" t="s">
        <v>226</v>
      </c>
      <c r="C21" s="621">
        <v>2</v>
      </c>
      <c r="D21" s="621">
        <v>4</v>
      </c>
      <c r="E21" s="621">
        <v>6</v>
      </c>
      <c r="F21" s="622">
        <v>11</v>
      </c>
      <c r="G21" s="621">
        <v>5</v>
      </c>
      <c r="H21" s="621">
        <v>11</v>
      </c>
      <c r="I21" s="622">
        <v>16</v>
      </c>
    </row>
    <row r="22" spans="2:9">
      <c r="C22" s="467"/>
      <c r="D22" s="467"/>
      <c r="E22" s="467"/>
      <c r="F22" s="467"/>
      <c r="G22" s="467"/>
      <c r="H22" s="467"/>
      <c r="I22" s="467"/>
    </row>
    <row r="23" spans="2:9" ht="15.75" thickBot="1">
      <c r="B23" s="419" t="s">
        <v>463</v>
      </c>
      <c r="C23" s="464"/>
      <c r="D23" s="464"/>
      <c r="E23" s="464"/>
      <c r="F23" s="464"/>
      <c r="G23" s="464"/>
      <c r="H23" s="464"/>
      <c r="I23" s="464"/>
    </row>
    <row r="24" spans="2:9">
      <c r="B24" s="421" t="s">
        <v>287</v>
      </c>
      <c r="C24" s="452"/>
      <c r="D24" s="452"/>
      <c r="E24" s="452"/>
      <c r="F24" s="452"/>
      <c r="G24" s="452"/>
      <c r="H24" s="452"/>
      <c r="I24" s="452"/>
    </row>
    <row r="25" spans="2:9" ht="15.75" thickBot="1">
      <c r="B25" s="432"/>
      <c r="C25" s="433" t="s">
        <v>471</v>
      </c>
      <c r="D25" s="433" t="s">
        <v>472</v>
      </c>
      <c r="E25" s="433" t="s">
        <v>511</v>
      </c>
      <c r="F25" s="528" t="s">
        <v>465</v>
      </c>
      <c r="G25" s="433" t="s">
        <v>460</v>
      </c>
      <c r="H25" s="433" t="s">
        <v>464</v>
      </c>
      <c r="I25" s="528" t="s">
        <v>541</v>
      </c>
    </row>
    <row r="26" spans="2:9">
      <c r="B26" s="370" t="s">
        <v>227</v>
      </c>
      <c r="C26" s="621">
        <v>16</v>
      </c>
      <c r="D26" s="621">
        <v>11</v>
      </c>
      <c r="E26" s="621">
        <v>6</v>
      </c>
      <c r="F26" s="622">
        <v>2</v>
      </c>
      <c r="G26" s="621">
        <v>0</v>
      </c>
      <c r="H26" s="621">
        <v>0</v>
      </c>
      <c r="I26" s="622">
        <v>0</v>
      </c>
    </row>
    <row r="27" spans="2:9">
      <c r="B27" s="370" t="s">
        <v>65</v>
      </c>
      <c r="C27" s="621">
        <v>20</v>
      </c>
      <c r="D27" s="621">
        <v>32</v>
      </c>
      <c r="E27" s="621">
        <v>31</v>
      </c>
      <c r="F27" s="622">
        <v>39</v>
      </c>
      <c r="G27" s="621">
        <v>146</v>
      </c>
      <c r="H27" s="621">
        <v>32</v>
      </c>
      <c r="I27" s="622">
        <v>61</v>
      </c>
    </row>
    <row r="28" spans="2:9">
      <c r="B28" s="370" t="s">
        <v>85</v>
      </c>
      <c r="C28" s="621">
        <v>21</v>
      </c>
      <c r="D28" s="621">
        <v>17</v>
      </c>
      <c r="E28" s="621">
        <v>23</v>
      </c>
      <c r="F28" s="622">
        <v>37</v>
      </c>
      <c r="G28" s="621">
        <v>25</v>
      </c>
      <c r="H28" s="621">
        <v>27</v>
      </c>
      <c r="I28" s="622">
        <v>23</v>
      </c>
    </row>
    <row r="29" spans="2:9">
      <c r="B29" s="407" t="s">
        <v>228</v>
      </c>
      <c r="C29" s="621">
        <v>165</v>
      </c>
      <c r="D29" s="621">
        <v>162</v>
      </c>
      <c r="E29" s="621">
        <v>160</v>
      </c>
      <c r="F29" s="622">
        <v>157</v>
      </c>
      <c r="G29" s="621">
        <v>154</v>
      </c>
      <c r="H29" s="621">
        <v>151</v>
      </c>
      <c r="I29" s="622">
        <v>149</v>
      </c>
    </row>
    <row r="30" spans="2:9">
      <c r="B30" s="407"/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66" fitToHeight="0" orientation="portrait" r:id="rId1"/>
  <headerFooter alignWithMargins="0">
    <oddHeader>&amp;CNovember 9, 2017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O11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2" max="2" width="44.140625" style="370" customWidth="1"/>
    <col min="3" max="3" width="20.42578125" style="370" bestFit="1" customWidth="1"/>
    <col min="4" max="4" width="18.140625" style="370" bestFit="1" customWidth="1"/>
    <col min="5" max="15" width="11.42578125" style="370"/>
    <col min="16" max="16384" width="11.42578125" style="354"/>
  </cols>
  <sheetData>
    <row r="1" spans="1:15" s="592" customFormat="1" ht="30" customHeight="1">
      <c r="A1"/>
      <c r="B1" s="587" t="s">
        <v>120</v>
      </c>
      <c r="C1" s="524"/>
      <c r="D1" s="524"/>
      <c r="E1" s="524"/>
      <c r="F1" s="524"/>
      <c r="G1" s="524"/>
      <c r="H1" s="524"/>
    </row>
    <row r="2" spans="1:15" s="592" customFormat="1" ht="15.75">
      <c r="A2"/>
      <c r="B2" s="587"/>
      <c r="C2" s="524"/>
      <c r="D2" s="524"/>
      <c r="E2" s="524"/>
      <c r="F2" s="524"/>
      <c r="G2" s="524"/>
      <c r="H2" s="524"/>
    </row>
    <row r="3" spans="1:15" s="592" customFormat="1" ht="15.75">
      <c r="A3"/>
      <c r="B3" s="587"/>
      <c r="C3" s="524"/>
      <c r="D3" s="524"/>
      <c r="E3" s="524"/>
      <c r="F3" s="524"/>
      <c r="G3" s="524"/>
      <c r="H3" s="524"/>
    </row>
    <row r="4" spans="1:15" ht="30.75" customHeight="1" thickBot="1">
      <c r="B4" s="686" t="s">
        <v>518</v>
      </c>
      <c r="C4" s="686"/>
      <c r="D4" s="686"/>
      <c r="I4" s="354"/>
      <c r="J4" s="354"/>
      <c r="K4" s="354"/>
      <c r="L4" s="354"/>
      <c r="M4" s="354"/>
      <c r="N4" s="354"/>
      <c r="O4" s="354"/>
    </row>
    <row r="5" spans="1:15">
      <c r="B5" s="421" t="s">
        <v>451</v>
      </c>
      <c r="C5" s="421"/>
      <c r="D5" s="421"/>
      <c r="I5" s="354"/>
      <c r="J5" s="354"/>
      <c r="K5" s="354"/>
      <c r="L5" s="354"/>
      <c r="M5" s="354"/>
      <c r="N5" s="354"/>
      <c r="O5" s="354"/>
    </row>
    <row r="6" spans="1:15" ht="15.75" thickBot="1">
      <c r="B6" s="422"/>
      <c r="C6" s="457" t="s">
        <v>466</v>
      </c>
      <c r="D6" s="457" t="s">
        <v>467</v>
      </c>
      <c r="I6" s="354"/>
      <c r="J6" s="354"/>
      <c r="K6" s="354"/>
      <c r="L6" s="354"/>
      <c r="M6" s="354"/>
      <c r="N6" s="354"/>
      <c r="O6" s="354"/>
    </row>
    <row r="7" spans="1:15">
      <c r="B7" s="370" t="s">
        <v>468</v>
      </c>
      <c r="C7" s="458">
        <v>819</v>
      </c>
      <c r="D7" s="458">
        <v>1320</v>
      </c>
      <c r="I7" s="354"/>
      <c r="J7" s="354"/>
      <c r="K7" s="354"/>
      <c r="L7" s="354"/>
      <c r="M7" s="354"/>
      <c r="N7" s="354"/>
      <c r="O7" s="354"/>
    </row>
    <row r="8" spans="1:15">
      <c r="B8" s="370" t="s">
        <v>469</v>
      </c>
      <c r="C8" s="458">
        <v>-9</v>
      </c>
      <c r="D8" s="458">
        <v>-441</v>
      </c>
      <c r="I8" s="354"/>
      <c r="J8" s="354"/>
      <c r="K8" s="354"/>
      <c r="L8" s="354"/>
      <c r="M8" s="354"/>
      <c r="N8" s="354"/>
      <c r="O8" s="354"/>
    </row>
    <row r="9" spans="1:15" ht="17.25">
      <c r="B9" s="480" t="s">
        <v>470</v>
      </c>
      <c r="C9" s="634">
        <v>810</v>
      </c>
      <c r="D9" s="634" t="s">
        <v>516</v>
      </c>
      <c r="I9" s="354"/>
      <c r="J9" s="354"/>
      <c r="K9" s="354"/>
      <c r="L9" s="354"/>
      <c r="M9" s="354"/>
      <c r="N9" s="354"/>
      <c r="O9" s="354"/>
    </row>
    <row r="10" spans="1:15">
      <c r="I10" s="354"/>
      <c r="J10" s="354"/>
      <c r="K10" s="354"/>
      <c r="L10" s="354"/>
      <c r="M10" s="354"/>
      <c r="N10" s="354"/>
      <c r="O10" s="354"/>
    </row>
    <row r="11" spans="1:15" ht="30" customHeight="1">
      <c r="B11" s="683" t="s">
        <v>517</v>
      </c>
      <c r="C11" s="683"/>
      <c r="D11" s="683"/>
      <c r="E11" s="635"/>
      <c r="I11" s="354"/>
      <c r="J11" s="354"/>
      <c r="K11" s="354"/>
      <c r="L11" s="354"/>
      <c r="M11" s="354"/>
      <c r="N11" s="354"/>
      <c r="O11" s="354"/>
    </row>
  </sheetData>
  <mergeCells count="2">
    <mergeCell ref="B4:D4"/>
    <mergeCell ref="B11:D11"/>
  </mergeCells>
  <hyperlinks>
    <hyperlink ref="B1" location="Index!A1" display="Index!A1"/>
  </hyperlink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portrait" r:id="rId1"/>
  <headerFooter alignWithMargins="0">
    <oddHeader>&amp;CNovember 9, 2017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S36"/>
  <sheetViews>
    <sheetView view="pageBreakPreview" zoomScaleNormal="85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56.7109375" style="334" customWidth="1"/>
    <col min="3" max="10" width="10.7109375" style="334" customWidth="1"/>
    <col min="11" max="16384" width="11.42578125" style="334"/>
  </cols>
  <sheetData>
    <row r="1" spans="1:19" s="591" customFormat="1" ht="30" customHeight="1">
      <c r="A1"/>
      <c r="B1" s="440" t="s">
        <v>120</v>
      </c>
    </row>
    <row r="2" spans="1:19" s="593" customFormat="1">
      <c r="A2"/>
      <c r="B2" s="440"/>
      <c r="C2" s="590"/>
      <c r="D2" s="590"/>
      <c r="E2" s="590"/>
      <c r="F2" s="590"/>
      <c r="G2" s="590"/>
      <c r="H2" s="590"/>
      <c r="I2" s="590"/>
    </row>
    <row r="3" spans="1:19" s="591" customFormat="1">
      <c r="A3"/>
      <c r="B3" s="440"/>
    </row>
    <row r="4" spans="1:19" s="7" customFormat="1" ht="15.75" thickBot="1">
      <c r="A4"/>
      <c r="B4" s="586" t="s">
        <v>140</v>
      </c>
      <c r="C4" s="586"/>
      <c r="D4" s="586"/>
      <c r="E4" s="586"/>
      <c r="F4" s="586"/>
      <c r="G4" s="586"/>
      <c r="H4" s="586"/>
      <c r="I4" s="646"/>
      <c r="J4" s="646"/>
      <c r="K4" s="334"/>
      <c r="L4" s="334"/>
      <c r="M4" s="334"/>
      <c r="N4" s="334"/>
      <c r="O4" s="334"/>
      <c r="P4" s="334"/>
      <c r="Q4" s="334"/>
      <c r="R4" s="334"/>
      <c r="S4" s="334"/>
    </row>
    <row r="5" spans="1:19">
      <c r="B5" s="626" t="s">
        <v>287</v>
      </c>
      <c r="C5" s="395"/>
      <c r="D5" s="395"/>
      <c r="E5" s="395"/>
      <c r="F5" s="395"/>
      <c r="G5" s="395"/>
      <c r="H5" s="395"/>
      <c r="I5" s="395"/>
      <c r="J5" s="370"/>
    </row>
    <row r="6" spans="1:19" s="7" customFormat="1" ht="15.75" thickBot="1">
      <c r="A6"/>
      <c r="B6" s="383"/>
      <c r="C6" s="356" t="s">
        <v>454</v>
      </c>
      <c r="D6" s="356" t="s">
        <v>455</v>
      </c>
      <c r="E6" s="356" t="s">
        <v>456</v>
      </c>
      <c r="F6" s="356" t="s">
        <v>457</v>
      </c>
      <c r="G6" s="442">
        <v>2016</v>
      </c>
      <c r="H6" s="356" t="s">
        <v>458</v>
      </c>
      <c r="I6" s="356" t="s">
        <v>459</v>
      </c>
      <c r="J6" s="442" t="s">
        <v>540</v>
      </c>
      <c r="K6" s="334"/>
      <c r="L6" s="334"/>
      <c r="M6" s="334"/>
      <c r="N6" s="334"/>
      <c r="O6" s="334"/>
      <c r="P6" s="334"/>
      <c r="Q6" s="334"/>
      <c r="R6" s="334"/>
      <c r="S6" s="334"/>
    </row>
    <row r="7" spans="1:19" collapsed="1">
      <c r="B7" s="373" t="s">
        <v>187</v>
      </c>
      <c r="C7" s="372">
        <v>373</v>
      </c>
      <c r="D7" s="372">
        <v>316</v>
      </c>
      <c r="E7" s="372">
        <v>308</v>
      </c>
      <c r="F7" s="372">
        <v>358</v>
      </c>
      <c r="G7" s="495">
        <v>1356</v>
      </c>
      <c r="H7" s="372">
        <v>209</v>
      </c>
      <c r="I7" s="372">
        <v>227</v>
      </c>
      <c r="J7" s="495">
        <v>272</v>
      </c>
    </row>
    <row r="8" spans="1:19">
      <c r="B8" s="373" t="s">
        <v>188</v>
      </c>
      <c r="C8" s="372">
        <v>92</v>
      </c>
      <c r="D8" s="372">
        <v>171</v>
      </c>
      <c r="E8" s="372">
        <v>94</v>
      </c>
      <c r="F8" s="372">
        <v>156</v>
      </c>
      <c r="G8" s="495">
        <v>513</v>
      </c>
      <c r="H8" s="372">
        <v>91</v>
      </c>
      <c r="I8" s="372">
        <v>168</v>
      </c>
      <c r="J8" s="535">
        <v>114</v>
      </c>
    </row>
    <row r="9" spans="1:19">
      <c r="B9" s="537" t="s">
        <v>190</v>
      </c>
      <c r="C9" s="540">
        <v>89</v>
      </c>
      <c r="D9" s="540">
        <v>166</v>
      </c>
      <c r="E9" s="540">
        <v>73</v>
      </c>
      <c r="F9" s="540">
        <v>135</v>
      </c>
      <c r="G9" s="539">
        <v>463</v>
      </c>
      <c r="H9" s="540">
        <v>84</v>
      </c>
      <c r="I9" s="540">
        <v>154</v>
      </c>
      <c r="J9" s="541">
        <v>83</v>
      </c>
    </row>
    <row r="10" spans="1:19">
      <c r="B10" s="537" t="s">
        <v>191</v>
      </c>
      <c r="C10" s="540">
        <v>2</v>
      </c>
      <c r="D10" s="540">
        <v>6</v>
      </c>
      <c r="E10" s="540">
        <v>21</v>
      </c>
      <c r="F10" s="540">
        <v>21</v>
      </c>
      <c r="G10" s="539">
        <v>49</v>
      </c>
      <c r="H10" s="540">
        <v>7</v>
      </c>
      <c r="I10" s="540">
        <v>14</v>
      </c>
      <c r="J10" s="541">
        <v>31</v>
      </c>
    </row>
    <row r="11" spans="1:19">
      <c r="B11" s="373" t="s">
        <v>38</v>
      </c>
      <c r="C11" s="372">
        <v>2</v>
      </c>
      <c r="D11" s="372">
        <v>2</v>
      </c>
      <c r="E11" s="372">
        <v>1</v>
      </c>
      <c r="F11" s="372">
        <v>4</v>
      </c>
      <c r="G11" s="495">
        <v>10</v>
      </c>
      <c r="H11" s="372">
        <v>1</v>
      </c>
      <c r="I11" s="372">
        <v>2</v>
      </c>
      <c r="J11" s="535">
        <v>2</v>
      </c>
    </row>
    <row r="12" spans="1:19" ht="15.75" thickBot="1">
      <c r="B12" s="627" t="s">
        <v>39</v>
      </c>
      <c r="C12" s="628">
        <v>467</v>
      </c>
      <c r="D12" s="628">
        <v>489</v>
      </c>
      <c r="E12" s="628">
        <v>403</v>
      </c>
      <c r="F12" s="628">
        <v>519</v>
      </c>
      <c r="G12" s="629">
        <v>1878</v>
      </c>
      <c r="H12" s="628">
        <v>302</v>
      </c>
      <c r="I12" s="628">
        <v>397</v>
      </c>
      <c r="J12" s="629">
        <v>388</v>
      </c>
    </row>
    <row r="13" spans="1:19">
      <c r="B13" s="366"/>
      <c r="C13" s="630"/>
      <c r="D13" s="630"/>
      <c r="E13" s="630"/>
      <c r="F13" s="630"/>
      <c r="G13" s="630"/>
      <c r="H13" s="630"/>
      <c r="I13" s="630"/>
      <c r="J13" s="366"/>
    </row>
    <row r="14" spans="1:19" ht="30.75" thickBot="1">
      <c r="B14" s="668" t="s">
        <v>542</v>
      </c>
      <c r="C14" s="394"/>
      <c r="D14" s="394"/>
      <c r="E14" s="394"/>
      <c r="F14" s="394"/>
      <c r="G14" s="394"/>
      <c r="H14" s="394"/>
      <c r="I14" s="394"/>
      <c r="J14" s="646"/>
    </row>
    <row r="15" spans="1:19">
      <c r="B15" s="626" t="s">
        <v>287</v>
      </c>
      <c r="C15" s="395"/>
      <c r="D15" s="395"/>
      <c r="E15" s="395"/>
      <c r="F15" s="395"/>
      <c r="G15" s="395"/>
      <c r="H15" s="395"/>
      <c r="I15" s="395"/>
      <c r="J15" s="370"/>
      <c r="K15" s="370"/>
      <c r="L15" s="370"/>
      <c r="M15" s="370"/>
      <c r="N15" s="370"/>
      <c r="O15" s="370"/>
      <c r="P15" s="370"/>
      <c r="Q15" s="370"/>
      <c r="R15" s="370"/>
      <c r="S15" s="370"/>
    </row>
    <row r="16" spans="1:19" ht="15.75" thickBot="1">
      <c r="B16" s="383"/>
      <c r="C16" s="381" t="s">
        <v>454</v>
      </c>
      <c r="D16" s="381" t="s">
        <v>455</v>
      </c>
      <c r="E16" s="381" t="s">
        <v>456</v>
      </c>
      <c r="F16" s="381" t="s">
        <v>457</v>
      </c>
      <c r="G16" s="442">
        <v>2016</v>
      </c>
      <c r="H16" s="381" t="s">
        <v>458</v>
      </c>
      <c r="I16" s="381" t="s">
        <v>459</v>
      </c>
      <c r="J16" s="442" t="s">
        <v>540</v>
      </c>
    </row>
    <row r="17" spans="1:19">
      <c r="B17" s="385" t="s">
        <v>187</v>
      </c>
      <c r="C17" s="384">
        <v>266</v>
      </c>
      <c r="D17" s="384">
        <v>388</v>
      </c>
      <c r="E17" s="384">
        <v>412</v>
      </c>
      <c r="F17" s="384">
        <v>480</v>
      </c>
      <c r="G17" s="536">
        <v>1546</v>
      </c>
      <c r="H17" s="384">
        <v>844</v>
      </c>
      <c r="I17" s="384">
        <v>548</v>
      </c>
      <c r="J17" s="536">
        <v>601</v>
      </c>
    </row>
    <row r="18" spans="1:19" s="370" customFormat="1">
      <c r="A18"/>
      <c r="B18" s="373" t="s">
        <v>188</v>
      </c>
      <c r="C18" s="386">
        <v>387</v>
      </c>
      <c r="D18" s="386">
        <v>636</v>
      </c>
      <c r="E18" s="386">
        <v>652</v>
      </c>
      <c r="F18" s="386">
        <v>583</v>
      </c>
      <c r="G18" s="495">
        <v>2258</v>
      </c>
      <c r="H18" s="386">
        <v>642</v>
      </c>
      <c r="I18" s="386">
        <v>-723</v>
      </c>
      <c r="J18" s="495">
        <v>645</v>
      </c>
      <c r="K18" s="334"/>
      <c r="L18" s="334"/>
      <c r="M18" s="334"/>
      <c r="N18" s="334"/>
      <c r="O18" s="334"/>
      <c r="P18" s="334"/>
      <c r="Q18" s="334"/>
      <c r="R18" s="334"/>
      <c r="S18" s="334"/>
    </row>
    <row r="19" spans="1:19">
      <c r="B19" s="537" t="s">
        <v>190</v>
      </c>
      <c r="C19" s="538">
        <v>376</v>
      </c>
      <c r="D19" s="538">
        <v>539</v>
      </c>
      <c r="E19" s="538">
        <v>558</v>
      </c>
      <c r="F19" s="538">
        <v>559</v>
      </c>
      <c r="G19" s="539">
        <v>2031</v>
      </c>
      <c r="H19" s="538">
        <v>536</v>
      </c>
      <c r="I19" s="538">
        <v>-777</v>
      </c>
      <c r="J19" s="539">
        <v>559</v>
      </c>
    </row>
    <row r="20" spans="1:19">
      <c r="B20" s="537" t="s">
        <v>191</v>
      </c>
      <c r="C20" s="538">
        <v>11</v>
      </c>
      <c r="D20" s="538">
        <v>97</v>
      </c>
      <c r="E20" s="538">
        <v>94</v>
      </c>
      <c r="F20" s="538">
        <v>24</v>
      </c>
      <c r="G20" s="539">
        <v>227</v>
      </c>
      <c r="H20" s="538">
        <v>106</v>
      </c>
      <c r="I20" s="538">
        <v>55</v>
      </c>
      <c r="J20" s="539">
        <v>86</v>
      </c>
    </row>
    <row r="21" spans="1:19">
      <c r="B21" s="373" t="s">
        <v>38</v>
      </c>
      <c r="C21" s="386">
        <v>5</v>
      </c>
      <c r="D21" s="386">
        <v>-6</v>
      </c>
      <c r="E21" s="386">
        <v>1</v>
      </c>
      <c r="F21" s="386">
        <v>-21</v>
      </c>
      <c r="G21" s="495">
        <v>-21</v>
      </c>
      <c r="H21" s="386">
        <v>-9</v>
      </c>
      <c r="I21" s="386">
        <v>-7</v>
      </c>
      <c r="J21" s="495">
        <v>2</v>
      </c>
    </row>
    <row r="22" spans="1:19">
      <c r="B22" s="373" t="s">
        <v>405</v>
      </c>
      <c r="C22" s="386">
        <v>18</v>
      </c>
      <c r="D22" s="386">
        <v>-44</v>
      </c>
      <c r="E22" s="386">
        <v>11</v>
      </c>
      <c r="F22" s="386">
        <v>-21</v>
      </c>
      <c r="G22" s="495">
        <v>-36</v>
      </c>
      <c r="H22" s="386">
        <v>5</v>
      </c>
      <c r="I22" s="386">
        <v>8</v>
      </c>
      <c r="J22" s="495">
        <v>0</v>
      </c>
    </row>
    <row r="23" spans="1:19" ht="15.75" thickBot="1">
      <c r="B23" s="627" t="s">
        <v>39</v>
      </c>
      <c r="C23" s="628">
        <v>676</v>
      </c>
      <c r="D23" s="628">
        <v>973</v>
      </c>
      <c r="E23" s="628">
        <v>1076</v>
      </c>
      <c r="F23" s="628">
        <v>1021</v>
      </c>
      <c r="G23" s="629">
        <v>3747</v>
      </c>
      <c r="H23" s="628">
        <v>1483</v>
      </c>
      <c r="I23" s="628">
        <v>-173</v>
      </c>
      <c r="J23" s="629">
        <v>1247</v>
      </c>
    </row>
    <row r="24" spans="1:19">
      <c r="C24" s="396"/>
      <c r="D24" s="396"/>
      <c r="E24" s="396"/>
      <c r="F24" s="396"/>
      <c r="G24" s="396"/>
      <c r="H24" s="396"/>
      <c r="I24" s="396"/>
    </row>
    <row r="25" spans="1:19" ht="33" thickBot="1">
      <c r="B25" s="668" t="s">
        <v>543</v>
      </c>
      <c r="C25" s="668"/>
      <c r="D25" s="668"/>
      <c r="E25" s="668"/>
      <c r="F25" s="668"/>
      <c r="G25" s="668"/>
      <c r="H25" s="668"/>
      <c r="I25" s="668"/>
      <c r="J25" s="646"/>
    </row>
    <row r="26" spans="1:19">
      <c r="B26" s="626" t="s">
        <v>287</v>
      </c>
      <c r="C26" s="396"/>
      <c r="D26" s="396"/>
      <c r="E26" s="396"/>
      <c r="F26" s="396"/>
      <c r="G26" s="396"/>
      <c r="H26" s="396"/>
      <c r="I26" s="396"/>
    </row>
    <row r="27" spans="1:19" ht="15.75" thickBot="1">
      <c r="B27" s="383"/>
      <c r="C27" s="381" t="s">
        <v>454</v>
      </c>
      <c r="D27" s="381" t="s">
        <v>455</v>
      </c>
      <c r="E27" s="381" t="s">
        <v>456</v>
      </c>
      <c r="F27" s="381" t="s">
        <v>457</v>
      </c>
      <c r="G27" s="442">
        <v>2016</v>
      </c>
      <c r="H27" s="381" t="s">
        <v>458</v>
      </c>
      <c r="I27" s="381" t="s">
        <v>459</v>
      </c>
      <c r="J27" s="442" t="s">
        <v>540</v>
      </c>
    </row>
    <row r="28" spans="1:19">
      <c r="B28" s="385" t="s">
        <v>187</v>
      </c>
      <c r="C28" s="384">
        <v>272</v>
      </c>
      <c r="D28" s="384">
        <v>377</v>
      </c>
      <c r="E28" s="384">
        <v>416</v>
      </c>
      <c r="F28" s="384">
        <v>456</v>
      </c>
      <c r="G28" s="536">
        <v>1521</v>
      </c>
      <c r="H28" s="384">
        <v>657</v>
      </c>
      <c r="I28" s="384">
        <v>615</v>
      </c>
      <c r="J28" s="536">
        <v>659</v>
      </c>
    </row>
    <row r="29" spans="1:19">
      <c r="B29" s="373" t="s">
        <v>188</v>
      </c>
      <c r="C29" s="386">
        <v>475</v>
      </c>
      <c r="D29" s="386">
        <v>524</v>
      </c>
      <c r="E29" s="386">
        <v>652</v>
      </c>
      <c r="F29" s="386">
        <v>525</v>
      </c>
      <c r="G29" s="495">
        <v>2175</v>
      </c>
      <c r="H29" s="386">
        <v>611</v>
      </c>
      <c r="I29" s="386">
        <v>528</v>
      </c>
      <c r="J29" s="495">
        <v>628</v>
      </c>
    </row>
    <row r="30" spans="1:19">
      <c r="B30" s="537" t="s">
        <v>190</v>
      </c>
      <c r="C30" s="538">
        <v>430</v>
      </c>
      <c r="D30" s="538">
        <v>428</v>
      </c>
      <c r="E30" s="538">
        <v>562</v>
      </c>
      <c r="F30" s="538">
        <v>474</v>
      </c>
      <c r="G30" s="539">
        <v>1893</v>
      </c>
      <c r="H30" s="538">
        <v>509</v>
      </c>
      <c r="I30" s="538">
        <v>481</v>
      </c>
      <c r="J30" s="539">
        <v>549</v>
      </c>
    </row>
    <row r="31" spans="1:19">
      <c r="B31" s="537" t="s">
        <v>191</v>
      </c>
      <c r="C31" s="538">
        <v>45</v>
      </c>
      <c r="D31" s="538">
        <v>96</v>
      </c>
      <c r="E31" s="538">
        <v>90</v>
      </c>
      <c r="F31" s="538">
        <v>51</v>
      </c>
      <c r="G31" s="539">
        <v>281</v>
      </c>
      <c r="H31" s="538">
        <v>102</v>
      </c>
      <c r="I31" s="538">
        <v>47</v>
      </c>
      <c r="J31" s="539">
        <v>79</v>
      </c>
    </row>
    <row r="32" spans="1:19">
      <c r="B32" s="373" t="s">
        <v>38</v>
      </c>
      <c r="C32" s="386">
        <v>5</v>
      </c>
      <c r="D32" s="386">
        <v>-3</v>
      </c>
      <c r="E32" s="386">
        <v>2</v>
      </c>
      <c r="F32" s="386">
        <v>-18</v>
      </c>
      <c r="G32" s="495">
        <v>-15</v>
      </c>
      <c r="H32" s="386">
        <v>-5</v>
      </c>
      <c r="I32" s="386">
        <v>-6</v>
      </c>
      <c r="J32" s="495">
        <v>3</v>
      </c>
    </row>
    <row r="33" spans="2:10">
      <c r="B33" s="373" t="s">
        <v>539</v>
      </c>
      <c r="C33" s="386">
        <v>44</v>
      </c>
      <c r="D33" s="386">
        <v>-24</v>
      </c>
      <c r="E33" s="386">
        <v>7</v>
      </c>
      <c r="F33" s="386">
        <v>-14</v>
      </c>
      <c r="G33" s="495">
        <v>12</v>
      </c>
      <c r="H33" s="386">
        <v>3</v>
      </c>
      <c r="I33" s="386">
        <v>5</v>
      </c>
      <c r="J33" s="495">
        <v>-3</v>
      </c>
    </row>
    <row r="34" spans="2:10" ht="15.75" thickBot="1">
      <c r="B34" s="627" t="s">
        <v>39</v>
      </c>
      <c r="C34" s="628">
        <v>795</v>
      </c>
      <c r="D34" s="628">
        <v>874</v>
      </c>
      <c r="E34" s="628">
        <v>1075</v>
      </c>
      <c r="F34" s="628">
        <v>948</v>
      </c>
      <c r="G34" s="629">
        <v>3693</v>
      </c>
      <c r="H34" s="628">
        <v>1265</v>
      </c>
      <c r="I34" s="628">
        <v>1142</v>
      </c>
      <c r="J34" s="629">
        <v>1288</v>
      </c>
    </row>
    <row r="35" spans="2:10">
      <c r="B35" s="631"/>
      <c r="C35" s="631"/>
      <c r="D35" s="631"/>
      <c r="H35" s="631"/>
      <c r="I35" s="631"/>
      <c r="J35" s="631"/>
    </row>
    <row r="36" spans="2:10" ht="14.25" customHeight="1">
      <c r="B36" s="687" t="s">
        <v>506</v>
      </c>
      <c r="C36" s="687"/>
      <c r="D36" s="687"/>
      <c r="E36" s="687"/>
      <c r="F36" s="687"/>
      <c r="G36" s="687"/>
      <c r="H36" s="687"/>
      <c r="I36" s="657"/>
    </row>
  </sheetData>
  <mergeCells count="1">
    <mergeCell ref="B36:H36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69" fitToHeight="0" orientation="portrait" r:id="rId1"/>
  <headerFooter alignWithMargins="0">
    <oddHeader>&amp;CNovember 9, 2017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J28"/>
  <sheetViews>
    <sheetView view="pageBreakPreview" zoomScaleNormal="100" zoomScaleSheetLayoutView="100" workbookViewId="0">
      <pane xSplit="2" ySplit="6" topLeftCell="C7" activePane="bottomRight" state="frozen"/>
      <selection pane="topRight"/>
      <selection pane="bottomLeft"/>
      <selection pane="bottomRight"/>
    </sheetView>
  </sheetViews>
  <sheetFormatPr defaultColWidth="11.42578125" defaultRowHeight="15"/>
  <cols>
    <col min="1" max="1" width="10.7109375" customWidth="1"/>
    <col min="2" max="2" width="37.85546875" style="334" customWidth="1"/>
    <col min="3" max="10" width="10.7109375" style="334" customWidth="1"/>
    <col min="11" max="16384" width="11.42578125" style="334"/>
  </cols>
  <sheetData>
    <row r="1" spans="1:10" s="591" customFormat="1" ht="30" customHeight="1" collapsed="1">
      <c r="A1"/>
      <c r="B1" s="587" t="s">
        <v>120</v>
      </c>
    </row>
    <row r="2" spans="1:10" s="267" customFormat="1" ht="15.75">
      <c r="A2"/>
      <c r="B2" s="587"/>
      <c r="C2" s="589"/>
      <c r="D2" s="589"/>
      <c r="E2" s="589"/>
      <c r="F2" s="589"/>
      <c r="G2" s="589"/>
      <c r="H2" s="589"/>
      <c r="I2" s="589"/>
    </row>
    <row r="3" spans="1:10" s="591" customFormat="1" ht="15.75">
      <c r="A3"/>
      <c r="B3" s="587"/>
    </row>
    <row r="4" spans="1:10" ht="15" customHeight="1" thickBot="1">
      <c r="B4" s="391" t="s">
        <v>119</v>
      </c>
      <c r="C4" s="391"/>
      <c r="D4" s="391"/>
      <c r="E4" s="391"/>
      <c r="F4" s="391"/>
      <c r="G4" s="391"/>
      <c r="H4" s="391"/>
      <c r="I4" s="391"/>
    </row>
    <row r="5" spans="1:10" ht="15" customHeight="1">
      <c r="B5" s="367"/>
      <c r="C5" s="367"/>
      <c r="D5" s="367"/>
      <c r="E5" s="367"/>
      <c r="F5" s="367"/>
      <c r="G5" s="367"/>
      <c r="H5" s="367"/>
      <c r="I5" s="367"/>
      <c r="J5" s="367"/>
    </row>
    <row r="6" spans="1:10" ht="15" customHeight="1" thickBot="1">
      <c r="B6" s="382"/>
      <c r="C6" s="356" t="s">
        <v>454</v>
      </c>
      <c r="D6" s="356" t="s">
        <v>455</v>
      </c>
      <c r="E6" s="356" t="s">
        <v>456</v>
      </c>
      <c r="F6" s="356" t="s">
        <v>457</v>
      </c>
      <c r="G6" s="442">
        <v>2016</v>
      </c>
      <c r="H6" s="356" t="s">
        <v>458</v>
      </c>
      <c r="I6" s="356" t="s">
        <v>459</v>
      </c>
      <c r="J6" s="442" t="s">
        <v>540</v>
      </c>
    </row>
    <row r="7" spans="1:10" ht="15" customHeight="1">
      <c r="B7" s="390" t="s">
        <v>14</v>
      </c>
      <c r="C7" s="351">
        <v>33.94</v>
      </c>
      <c r="D7" s="351">
        <v>45.59</v>
      </c>
      <c r="E7" s="351">
        <v>45.86</v>
      </c>
      <c r="F7" s="351">
        <v>49.33</v>
      </c>
      <c r="G7" s="445">
        <v>43.73</v>
      </c>
      <c r="H7" s="351">
        <v>53.69</v>
      </c>
      <c r="I7" s="351">
        <v>49.64</v>
      </c>
      <c r="J7" s="445">
        <v>52.08</v>
      </c>
    </row>
    <row r="8" spans="1:10" ht="15" customHeight="1">
      <c r="B8" s="390" t="s">
        <v>18</v>
      </c>
      <c r="C8" s="351">
        <v>32.29</v>
      </c>
      <c r="D8" s="351">
        <v>43.91</v>
      </c>
      <c r="E8" s="351">
        <v>44.1</v>
      </c>
      <c r="F8" s="351">
        <v>47.89</v>
      </c>
      <c r="G8" s="445">
        <v>42.1</v>
      </c>
      <c r="H8" s="351">
        <v>52.21</v>
      </c>
      <c r="I8" s="351">
        <v>48.49</v>
      </c>
      <c r="J8" s="445">
        <v>51.36</v>
      </c>
    </row>
    <row r="9" spans="1:10" ht="15" customHeight="1">
      <c r="B9" s="390" t="s">
        <v>46</v>
      </c>
      <c r="C9" s="371">
        <v>1.1020000000000001</v>
      </c>
      <c r="D9" s="371">
        <v>1.129</v>
      </c>
      <c r="E9" s="371">
        <v>1.117</v>
      </c>
      <c r="F9" s="371">
        <v>1.079</v>
      </c>
      <c r="G9" s="542">
        <v>1.107</v>
      </c>
      <c r="H9" s="371">
        <v>1.0649999999999999</v>
      </c>
      <c r="I9" s="371">
        <v>1.1020000000000001</v>
      </c>
      <c r="J9" s="542">
        <v>1.175</v>
      </c>
    </row>
    <row r="10" spans="1:10" ht="15" customHeight="1">
      <c r="B10" s="390" t="s">
        <v>47</v>
      </c>
      <c r="C10" s="371">
        <v>4.492</v>
      </c>
      <c r="D10" s="371">
        <v>4.4989999999999997</v>
      </c>
      <c r="E10" s="371">
        <v>4.4649999999999999</v>
      </c>
      <c r="F10" s="371">
        <v>4.5069999999999997</v>
      </c>
      <c r="G10" s="542">
        <v>4.49</v>
      </c>
      <c r="H10" s="371">
        <v>4.5220000000000002</v>
      </c>
      <c r="I10" s="371">
        <v>4.5529999999999999</v>
      </c>
      <c r="J10" s="542">
        <v>4.5819999999999999</v>
      </c>
    </row>
    <row r="11" spans="1:10" ht="15" customHeight="1">
      <c r="B11" s="390" t="s">
        <v>48</v>
      </c>
      <c r="C11" s="371">
        <v>4.077</v>
      </c>
      <c r="D11" s="371">
        <v>3.984</v>
      </c>
      <c r="E11" s="371">
        <v>3.9980000000000002</v>
      </c>
      <c r="F11" s="371">
        <v>4.1769999999999996</v>
      </c>
      <c r="G11" s="542">
        <v>4.0570000000000004</v>
      </c>
      <c r="H11" s="371">
        <v>4.2469999999999999</v>
      </c>
      <c r="I11" s="371">
        <v>4.1310000000000002</v>
      </c>
      <c r="J11" s="542">
        <v>3.9009999999999998</v>
      </c>
    </row>
    <row r="12" spans="1:10" ht="15" customHeight="1">
      <c r="B12" s="390" t="s">
        <v>49</v>
      </c>
      <c r="C12" s="371">
        <v>3.2469999999999999</v>
      </c>
      <c r="D12" s="371">
        <v>3.2709999999999999</v>
      </c>
      <c r="E12" s="371">
        <v>3.31</v>
      </c>
      <c r="F12" s="371">
        <v>3.544</v>
      </c>
      <c r="G12" s="542">
        <v>3.343</v>
      </c>
      <c r="H12" s="371">
        <v>3.9380000000000002</v>
      </c>
      <c r="I12" s="371">
        <v>3.9409999999999998</v>
      </c>
      <c r="J12" s="542">
        <v>4.1280000000000001</v>
      </c>
    </row>
    <row r="13" spans="1:10" ht="15" customHeight="1">
      <c r="B13" s="390" t="s">
        <v>50</v>
      </c>
      <c r="C13" s="371">
        <v>2.9470000000000001</v>
      </c>
      <c r="D13" s="371">
        <v>2.8969999999999998</v>
      </c>
      <c r="E13" s="371">
        <v>2.964</v>
      </c>
      <c r="F13" s="371">
        <v>3.2850000000000001</v>
      </c>
      <c r="G13" s="542">
        <v>3.02</v>
      </c>
      <c r="H13" s="371">
        <v>3.698</v>
      </c>
      <c r="I13" s="371">
        <v>3.5750000000000002</v>
      </c>
      <c r="J13" s="542">
        <v>3.5150000000000001</v>
      </c>
    </row>
    <row r="14" spans="1:10" ht="15" customHeight="1">
      <c r="B14" s="390" t="s">
        <v>51</v>
      </c>
      <c r="C14" s="364">
        <v>4.26</v>
      </c>
      <c r="D14" s="364">
        <v>4.38</v>
      </c>
      <c r="E14" s="364">
        <v>4.42</v>
      </c>
      <c r="F14" s="364">
        <v>6.68</v>
      </c>
      <c r="G14" s="447">
        <v>4.93</v>
      </c>
      <c r="H14" s="364">
        <v>5.87</v>
      </c>
      <c r="I14" s="364">
        <v>7.19</v>
      </c>
      <c r="J14" s="447">
        <v>7.79</v>
      </c>
    </row>
    <row r="15" spans="1:10" ht="15" customHeight="1">
      <c r="B15" s="380" t="s">
        <v>181</v>
      </c>
      <c r="C15" s="351">
        <v>13.63</v>
      </c>
      <c r="D15" s="351">
        <v>13.96</v>
      </c>
      <c r="E15" s="351">
        <v>14.06</v>
      </c>
      <c r="F15" s="351">
        <v>17.62</v>
      </c>
      <c r="G15" s="445">
        <v>14.82</v>
      </c>
      <c r="H15" s="351">
        <v>19.13</v>
      </c>
      <c r="I15" s="351">
        <v>16.88</v>
      </c>
      <c r="J15" s="445">
        <v>16.78</v>
      </c>
    </row>
    <row r="16" spans="1:10" ht="15" customHeight="1">
      <c r="B16" s="390" t="s">
        <v>182</v>
      </c>
      <c r="C16" s="351">
        <v>13.17</v>
      </c>
      <c r="D16" s="351">
        <v>13.2</v>
      </c>
      <c r="E16" s="351">
        <v>12.96</v>
      </c>
      <c r="F16" s="351">
        <v>17.18</v>
      </c>
      <c r="G16" s="445">
        <v>14.13</v>
      </c>
      <c r="H16" s="351">
        <v>18.899999999999999</v>
      </c>
      <c r="I16" s="351">
        <v>15.92</v>
      </c>
      <c r="J16" s="445">
        <v>16.13</v>
      </c>
    </row>
    <row r="17" spans="2:10" ht="29.25" customHeight="1">
      <c r="B17" s="390" t="s">
        <v>183</v>
      </c>
      <c r="C17" s="472">
        <v>13.36</v>
      </c>
      <c r="D17" s="472">
        <v>13.34</v>
      </c>
      <c r="E17" s="472">
        <v>13.44</v>
      </c>
      <c r="F17" s="472">
        <v>13.31</v>
      </c>
      <c r="G17" s="543">
        <v>13.36</v>
      </c>
      <c r="H17" s="472">
        <v>13.27</v>
      </c>
      <c r="I17" s="659"/>
      <c r="J17" s="585"/>
    </row>
    <row r="18" spans="2:10" ht="29.25">
      <c r="B18" s="435" t="s">
        <v>184</v>
      </c>
      <c r="C18" s="472">
        <v>31.15</v>
      </c>
      <c r="D18" s="472">
        <v>28.55</v>
      </c>
      <c r="E18" s="472">
        <v>32.69</v>
      </c>
      <c r="F18" s="472">
        <v>40.83</v>
      </c>
      <c r="G18" s="543">
        <v>33.299999999999997</v>
      </c>
      <c r="H18" s="472">
        <v>55.02</v>
      </c>
      <c r="I18" s="472">
        <v>40.99</v>
      </c>
      <c r="J18" s="543">
        <v>50.12</v>
      </c>
    </row>
    <row r="19" spans="2:10" ht="29.25">
      <c r="B19" s="435" t="s">
        <v>185</v>
      </c>
      <c r="C19" s="472">
        <v>37.25</v>
      </c>
      <c r="D19" s="472">
        <v>38.49</v>
      </c>
      <c r="E19" s="472">
        <v>43.94</v>
      </c>
      <c r="F19" s="472">
        <v>47.74</v>
      </c>
      <c r="G19" s="543">
        <v>41.98</v>
      </c>
      <c r="H19" s="472">
        <v>42.25</v>
      </c>
      <c r="I19" s="472">
        <v>37.729999999999997</v>
      </c>
      <c r="J19" s="543">
        <v>42.54</v>
      </c>
    </row>
    <row r="20" spans="2:10" ht="15" customHeight="1"/>
    <row r="21" spans="2:10" ht="29.25" customHeight="1">
      <c r="B21" s="688" t="s">
        <v>221</v>
      </c>
      <c r="C21" s="688"/>
      <c r="D21" s="688"/>
      <c r="E21" s="688"/>
      <c r="F21" s="688"/>
      <c r="G21" s="688"/>
      <c r="H21" s="688"/>
      <c r="I21" s="658"/>
    </row>
    <row r="27" spans="2:10">
      <c r="C27" s="393"/>
      <c r="D27" s="393"/>
      <c r="E27" s="393"/>
      <c r="F27" s="393"/>
      <c r="G27" s="393"/>
      <c r="H27" s="393"/>
      <c r="I27" s="393"/>
      <c r="J27" s="393"/>
    </row>
    <row r="28" spans="2:10">
      <c r="C28" s="393"/>
      <c r="D28" s="393"/>
      <c r="E28" s="393"/>
      <c r="F28" s="393"/>
      <c r="G28" s="393"/>
      <c r="H28" s="393"/>
      <c r="I28" s="393"/>
      <c r="J28" s="393"/>
    </row>
  </sheetData>
  <mergeCells count="1">
    <mergeCell ref="B21:H21"/>
  </mergeCells>
  <phoneticPr fontId="7" type="noConversion"/>
  <hyperlinks>
    <hyperlink ref="B1" location="Index!A1" display="Index!A1"/>
  </hyperlinks>
  <printOptions horizontalCentered="1"/>
  <pageMargins left="0.25" right="0.25" top="0.75" bottom="0.75" header="0.3" footer="0.3"/>
  <pageSetup paperSize="9" scale="80" fitToHeight="0" orientation="portrait" r:id="rId1"/>
  <headerFooter alignWithMargins="0">
    <oddHeader>&amp;CNovember 9, 2017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tabColor rgb="FFFF0000"/>
    <pageSetUpPr fitToPage="1"/>
  </sheetPr>
  <dimension ref="A1:O44"/>
  <sheetViews>
    <sheetView zoomScaleNormal="100" workbookViewId="0">
      <selection activeCell="D19" sqref="D19"/>
    </sheetView>
  </sheetViews>
  <sheetFormatPr defaultColWidth="11.42578125" defaultRowHeight="15"/>
  <cols>
    <col min="1" max="1" width="57.5703125" style="6" customWidth="1"/>
    <col min="2" max="2" width="13.85546875" style="6" customWidth="1"/>
    <col min="3" max="3" width="6.140625" style="6" customWidth="1"/>
    <col min="4" max="4" width="13.140625" style="6" customWidth="1"/>
    <col min="5" max="5" width="5.42578125" style="6" customWidth="1"/>
    <col min="6" max="6" width="16.5703125" style="6" customWidth="1"/>
    <col min="7" max="16384" width="11.42578125" style="6"/>
  </cols>
  <sheetData>
    <row r="1" spans="1:5" ht="15" customHeight="1" thickBot="1">
      <c r="A1" s="301" t="e">
        <f>INDEX(#REF!,MATCH(-197149356,#REF!,0),Sy_nop)</f>
        <v>#REF!</v>
      </c>
      <c r="B1" s="301"/>
      <c r="C1" s="301"/>
      <c r="D1" s="301"/>
      <c r="E1" s="301"/>
    </row>
    <row r="2" spans="1:5" ht="15" customHeight="1">
      <c r="A2" s="302" t="s">
        <v>451</v>
      </c>
      <c r="B2" s="302"/>
      <c r="C2" s="302"/>
      <c r="D2" s="302"/>
      <c r="E2" s="302"/>
    </row>
    <row r="3" spans="1:5" ht="27" customHeight="1" thickBot="1">
      <c r="A3" s="326"/>
      <c r="B3" s="327" t="e">
        <f>#REF!</f>
        <v>#REF!</v>
      </c>
      <c r="C3" s="333" t="s">
        <v>351</v>
      </c>
      <c r="D3" s="329" t="e">
        <f>#REF!</f>
        <v>#REF!</v>
      </c>
      <c r="E3" s="333" t="s">
        <v>351</v>
      </c>
    </row>
    <row r="4" spans="1:5" ht="15" customHeight="1">
      <c r="A4" s="324" t="e">
        <f>INDEX(#REF!,MATCH(-132994233,#REF!,0),Sy_nop)</f>
        <v>#REF!</v>
      </c>
      <c r="B4" s="325"/>
      <c r="C4" s="306"/>
      <c r="D4" s="306"/>
      <c r="E4" s="306"/>
    </row>
    <row r="5" spans="1:5" ht="15" customHeight="1">
      <c r="A5" s="305" t="e">
        <f>INDEX(#REF!,MATCH(-2725492,#REF!,0),Sy_nop)</f>
        <v>#REF!</v>
      </c>
      <c r="B5" s="308">
        <v>20573</v>
      </c>
      <c r="C5" s="306">
        <v>66</v>
      </c>
      <c r="D5" s="306">
        <v>21042</v>
      </c>
      <c r="E5" s="306">
        <v>66</v>
      </c>
    </row>
    <row r="6" spans="1:5" ht="15" customHeight="1">
      <c r="A6" s="297" t="e">
        <f>INDEX(#REF!,MATCH(137200543,#REF!,0),Sy_nop)</f>
        <v>#REF!</v>
      </c>
      <c r="B6" s="298">
        <v>16042</v>
      </c>
      <c r="C6" s="296">
        <v>51</v>
      </c>
      <c r="D6" s="296">
        <v>16326</v>
      </c>
      <c r="E6" s="296">
        <v>51</v>
      </c>
    </row>
    <row r="7" spans="1:5" ht="15" customHeight="1">
      <c r="A7" s="297" t="e">
        <f>INDEX(#REF!,MATCH(-129764394,#REF!,0),Sy_nop)</f>
        <v>#REF!</v>
      </c>
      <c r="B7" s="298">
        <v>2660</v>
      </c>
      <c r="C7" s="296">
        <v>9</v>
      </c>
      <c r="D7" s="296">
        <v>2860</v>
      </c>
      <c r="E7" s="296">
        <v>9</v>
      </c>
    </row>
    <row r="8" spans="1:5" ht="15" customHeight="1">
      <c r="A8" s="297" t="e">
        <f>INDEX(#REF!,MATCH(113062672,#REF!,0),Sy_nop)</f>
        <v>#REF!</v>
      </c>
      <c r="B8" s="298">
        <v>1100</v>
      </c>
      <c r="C8" s="296">
        <v>4</v>
      </c>
      <c r="D8" s="296">
        <v>1017</v>
      </c>
      <c r="E8" s="296">
        <v>3</v>
      </c>
    </row>
    <row r="9" spans="1:5" ht="15" customHeight="1">
      <c r="A9" s="297" t="e">
        <f>INDEX(#REF!,MATCH(107424237,#REF!,0),Sy_nop)</f>
        <v>#REF!</v>
      </c>
      <c r="B9" s="298">
        <v>771</v>
      </c>
      <c r="C9" s="296">
        <v>2</v>
      </c>
      <c r="D9" s="296">
        <v>839</v>
      </c>
      <c r="E9" s="296">
        <v>3</v>
      </c>
    </row>
    <row r="10" spans="1:5" ht="15" customHeight="1">
      <c r="A10" s="307" t="e">
        <f>INDEX(#REF!,MATCH(42267586,#REF!,0),Sy_nop)</f>
        <v>#REF!</v>
      </c>
      <c r="B10" s="308">
        <v>8177</v>
      </c>
      <c r="C10" s="306">
        <v>26</v>
      </c>
      <c r="D10" s="306">
        <v>7666</v>
      </c>
      <c r="E10" s="306">
        <v>24</v>
      </c>
    </row>
    <row r="11" spans="1:5" ht="15" customHeight="1">
      <c r="A11" s="297" t="e">
        <f>INDEX(#REF!,MATCH(-128027416,#REF!,0),Sy_nop)</f>
        <v>#REF!</v>
      </c>
      <c r="B11" s="298">
        <v>1468</v>
      </c>
      <c r="C11" s="296">
        <v>5</v>
      </c>
      <c r="D11" s="296">
        <v>1663</v>
      </c>
      <c r="E11" s="296">
        <v>5</v>
      </c>
    </row>
    <row r="12" spans="1:5" ht="15" customHeight="1">
      <c r="A12" s="297" t="e">
        <f>INDEX(#REF!,MATCH(125938338,#REF!,0),Sy_nop)</f>
        <v>#REF!</v>
      </c>
      <c r="B12" s="298">
        <v>2574</v>
      </c>
      <c r="C12" s="296">
        <v>8</v>
      </c>
      <c r="D12" s="296">
        <v>2459</v>
      </c>
      <c r="E12" s="296">
        <v>8</v>
      </c>
    </row>
    <row r="13" spans="1:5" ht="15" customHeight="1">
      <c r="A13" s="297" t="e">
        <f>INDEX(#REF!,MATCH(68744105,#REF!,0),Sy_nop)</f>
        <v>#REF!</v>
      </c>
      <c r="B13" s="298">
        <v>4135</v>
      </c>
      <c r="C13" s="296">
        <v>13</v>
      </c>
      <c r="D13" s="296">
        <v>3544</v>
      </c>
      <c r="E13" s="296">
        <v>11</v>
      </c>
    </row>
    <row r="14" spans="1:5" ht="15" customHeight="1">
      <c r="A14" s="307" t="e">
        <f>INDEX(#REF!,MATCH(98038703,#REF!,0),Sy_nop)</f>
        <v>#REF!</v>
      </c>
      <c r="B14" s="308">
        <v>2403</v>
      </c>
      <c r="C14" s="306">
        <v>8</v>
      </c>
      <c r="D14" s="306">
        <v>3405</v>
      </c>
      <c r="E14" s="306">
        <v>11</v>
      </c>
    </row>
    <row r="15" spans="1:5" ht="15" customHeight="1">
      <c r="A15" s="300" t="e">
        <f>INDEX(#REF!,MATCH(-92447514,#REF!,0),Sy_nop)</f>
        <v>#REF!</v>
      </c>
      <c r="B15" s="298"/>
      <c r="C15" s="296"/>
      <c r="D15" s="296"/>
      <c r="E15" s="296"/>
    </row>
    <row r="16" spans="1:5" ht="15" customHeight="1">
      <c r="A16" s="307" t="e">
        <f>INDEX(#REF!,MATCH(-152072841,#REF!,0),Sy_nop)</f>
        <v>#REF!</v>
      </c>
      <c r="B16" s="308">
        <v>14441</v>
      </c>
      <c r="C16" s="306">
        <v>46</v>
      </c>
      <c r="D16" s="306">
        <v>13925</v>
      </c>
      <c r="E16" s="306">
        <v>43</v>
      </c>
    </row>
    <row r="17" spans="1:15" ht="15" customHeight="1">
      <c r="A17" s="307" t="e">
        <f>INDEX(#REF!,MATCH(-56027277,#REF!,0),Sy_nop)</f>
        <v>#REF!</v>
      </c>
      <c r="B17" s="308">
        <v>10242</v>
      </c>
      <c r="C17" s="306">
        <v>33</v>
      </c>
      <c r="D17" s="306">
        <v>10354</v>
      </c>
      <c r="E17" s="306">
        <v>32</v>
      </c>
    </row>
    <row r="18" spans="1:15" ht="15" customHeight="1">
      <c r="A18" s="297" t="e">
        <f>INDEX(#REF!,MATCH(-169442624,#REF!,0),Sy_nop)</f>
        <v>#REF!</v>
      </c>
      <c r="B18" s="298">
        <v>1053</v>
      </c>
      <c r="C18" s="296">
        <v>3</v>
      </c>
      <c r="D18" s="296">
        <v>1057</v>
      </c>
      <c r="E18" s="296">
        <v>3</v>
      </c>
    </row>
    <row r="19" spans="1:15" ht="15" customHeight="1">
      <c r="A19" s="297" t="e">
        <f>INDEX(#REF!,MATCH(-162153054,#REF!,0),Sy_nop)</f>
        <v>#REF!</v>
      </c>
      <c r="B19" s="298">
        <v>4703</v>
      </c>
      <c r="C19" s="296">
        <v>15</v>
      </c>
      <c r="D19" s="296">
        <v>4737</v>
      </c>
      <c r="E19" s="296">
        <v>15</v>
      </c>
    </row>
    <row r="20" spans="1:15" ht="15" customHeight="1">
      <c r="A20" s="297" t="e">
        <f>INDEX(#REF!,MATCH(167705646,#REF!,0),Sy_nop)</f>
        <v>#REF!</v>
      </c>
      <c r="B20" s="298">
        <v>3303</v>
      </c>
      <c r="C20" s="296">
        <v>11</v>
      </c>
      <c r="D20" s="296">
        <v>3320</v>
      </c>
      <c r="E20" s="296">
        <v>10</v>
      </c>
    </row>
    <row r="21" spans="1:15" ht="15" customHeight="1">
      <c r="A21" s="297" t="e">
        <f>INDEX(#REF!,MATCH(203795513,#REF!,0),Sy_nop)</f>
        <v>#REF!</v>
      </c>
      <c r="B21" s="298">
        <v>1063</v>
      </c>
      <c r="C21" s="296">
        <v>3</v>
      </c>
      <c r="D21" s="296">
        <v>1117</v>
      </c>
      <c r="E21" s="296">
        <v>3</v>
      </c>
    </row>
    <row r="22" spans="1:15" ht="15" customHeight="1">
      <c r="A22" s="297" t="e">
        <f>INDEX(#REF!,MATCH(-77234532,#REF!,0),Sy_nop)</f>
        <v>#REF!</v>
      </c>
      <c r="B22" s="298">
        <v>119</v>
      </c>
      <c r="C22" s="296">
        <v>0</v>
      </c>
      <c r="D22" s="296">
        <v>122</v>
      </c>
      <c r="E22" s="296">
        <v>0</v>
      </c>
    </row>
    <row r="23" spans="1:15" ht="15" customHeight="1">
      <c r="A23" s="307" t="e">
        <f>INDEX(#REF!,MATCH(-179348105,#REF!,0),Sy_nop)</f>
        <v>#REF!</v>
      </c>
      <c r="B23" s="308">
        <v>5577</v>
      </c>
      <c r="C23" s="306">
        <v>18</v>
      </c>
      <c r="D23" s="306">
        <v>6727</v>
      </c>
      <c r="E23" s="306">
        <v>21</v>
      </c>
    </row>
    <row r="24" spans="1:15" ht="15" customHeight="1">
      <c r="A24" s="297" t="e">
        <f>INDEX(#REF!,MATCH(180108612,#REF!,0),Sy_nop)</f>
        <v>#REF!</v>
      </c>
      <c r="B24" s="298">
        <v>3084</v>
      </c>
      <c r="C24" s="296">
        <v>10</v>
      </c>
      <c r="D24" s="296">
        <v>3731</v>
      </c>
      <c r="E24" s="296">
        <v>12</v>
      </c>
    </row>
    <row r="25" spans="1:15" ht="15" customHeight="1">
      <c r="A25" s="297" t="e">
        <f>INDEX(#REF!,MATCH(-162153054,#REF!,0),Sy_nop)</f>
        <v>#REF!</v>
      </c>
      <c r="B25" s="298">
        <v>170</v>
      </c>
      <c r="C25" s="296">
        <v>1</v>
      </c>
      <c r="D25" s="296">
        <v>260</v>
      </c>
      <c r="E25" s="296">
        <v>1</v>
      </c>
    </row>
    <row r="26" spans="1:15" ht="15" customHeight="1">
      <c r="A26" s="297" t="e">
        <f>INDEX(#REF!,MATCH(203795513,#REF!,0),Sy_nop)</f>
        <v>#REF!</v>
      </c>
      <c r="B26" s="298">
        <v>2323</v>
      </c>
      <c r="C26" s="296">
        <v>7</v>
      </c>
      <c r="D26" s="296">
        <v>2736</v>
      </c>
      <c r="E26" s="296">
        <v>9</v>
      </c>
    </row>
    <row r="27" spans="1:15" ht="15" customHeight="1">
      <c r="A27" s="307" t="e">
        <f>INDEX(#REF!,MATCH(38413376,#REF!,0),Sy_nop)</f>
        <v>#REF!</v>
      </c>
      <c r="B27" s="308">
        <v>893</v>
      </c>
      <c r="C27" s="306">
        <v>3</v>
      </c>
      <c r="D27" s="306">
        <v>1107</v>
      </c>
      <c r="E27" s="306">
        <v>3</v>
      </c>
    </row>
    <row r="28" spans="1:15" s="86" customFormat="1" ht="15" customHeight="1" thickBot="1">
      <c r="A28" s="303" t="e">
        <f>INDEX(#REF!,MATCH(80953988,#REF!,0),Sy_nop)</f>
        <v>#REF!</v>
      </c>
      <c r="B28" s="309">
        <v>31153</v>
      </c>
      <c r="C28" s="304">
        <v>100</v>
      </c>
      <c r="D28" s="304">
        <v>32112</v>
      </c>
      <c r="E28" s="304">
        <v>100</v>
      </c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 ht="15" customHeight="1">
      <c r="A29" s="299"/>
      <c r="B29" s="299"/>
      <c r="C29" s="299"/>
      <c r="D29" s="299"/>
      <c r="E29" s="299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  <c r="E36"/>
    </row>
    <row r="37" spans="1:5">
      <c r="A37"/>
      <c r="B37"/>
      <c r="C37"/>
      <c r="D37"/>
      <c r="E37"/>
    </row>
    <row r="38" spans="1:5">
      <c r="A38"/>
      <c r="B38"/>
      <c r="C38"/>
      <c r="D38"/>
      <c r="E38"/>
    </row>
    <row r="39" spans="1:5">
      <c r="A39"/>
      <c r="B39"/>
      <c r="C39"/>
      <c r="D39"/>
      <c r="E39"/>
    </row>
    <row r="40" spans="1:5">
      <c r="A40"/>
      <c r="B40"/>
      <c r="C40"/>
      <c r="D40"/>
      <c r="E40"/>
    </row>
    <row r="41" spans="1:5">
      <c r="A41"/>
      <c r="B41"/>
      <c r="C41"/>
      <c r="D41"/>
      <c r="E41"/>
    </row>
    <row r="42" spans="1:5">
      <c r="A42"/>
      <c r="B42"/>
      <c r="C42"/>
      <c r="D42"/>
      <c r="E42"/>
    </row>
    <row r="43" spans="1:5">
      <c r="A43"/>
      <c r="B43"/>
      <c r="C43"/>
      <c r="D43"/>
      <c r="E43"/>
    </row>
    <row r="44" spans="1:5">
      <c r="A44"/>
      <c r="B44"/>
      <c r="C44"/>
      <c r="D44"/>
      <c r="E44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I31"/>
  <sheetViews>
    <sheetView zoomScale="80" zoomScaleNormal="80" workbookViewId="0">
      <selection activeCell="D35" sqref="D35"/>
    </sheetView>
  </sheetViews>
  <sheetFormatPr defaultColWidth="11.42578125" defaultRowHeight="15" outlineLevelRow="1" outlineLevelCol="1"/>
  <cols>
    <col min="1" max="1" width="52.140625" style="6" customWidth="1"/>
    <col min="2" max="13" width="11.5703125" style="6" hidden="1" customWidth="1" outlineLevel="1"/>
    <col min="14" max="14" width="11.5703125" style="6" customWidth="1" collapsed="1"/>
    <col min="15" max="22" width="11.5703125" style="6" customWidth="1"/>
    <col min="23" max="34" width="11.5703125" style="6" hidden="1" customWidth="1" outlineLevel="1"/>
    <col min="35" max="35" width="11.42578125" style="6" customWidth="1" collapsed="1"/>
    <col min="36" max="16384" width="11.42578125" style="6"/>
  </cols>
  <sheetData>
    <row r="1" spans="1:35" ht="15" customHeight="1">
      <c r="A1" s="1" t="e">
        <f>INDEX(#REF!,MATCH(153240297,#REF!,0),Sy_nop)</f>
        <v>#REF!</v>
      </c>
    </row>
    <row r="2" spans="1:35" ht="15" customHeight="1">
      <c r="A2" s="40" t="e">
        <f>INDEX(#REF!,MATCH(-9788093,#REF!,0),Sy_nop)</f>
        <v>#REF!</v>
      </c>
    </row>
    <row r="3" spans="1:35" ht="30" customHeight="1">
      <c r="B3" s="160" t="e">
        <f>INDEX(#REF!,MATCH(-174564184,#REF!,0),Sy_nop)</f>
        <v>#REF!</v>
      </c>
      <c r="C3" s="149" t="e">
        <f>INDEX(#REF!,MATCH(-187872572,#REF!,0),Sy_nop)</f>
        <v>#REF!</v>
      </c>
      <c r="D3" s="150" t="s">
        <v>275</v>
      </c>
      <c r="E3" s="160" t="e">
        <f>INDEX(#REF!,MATCH(-174564184,#REF!,0),Sy_nop)</f>
        <v>#REF!</v>
      </c>
      <c r="F3" s="149" t="e">
        <f>INDEX(#REF!,MATCH(-187872572,#REF!,0),Sy_nop)</f>
        <v>#REF!</v>
      </c>
      <c r="G3" s="150" t="s">
        <v>275</v>
      </c>
      <c r="H3" s="160" t="e">
        <f>INDEX(#REF!,MATCH(-174564184,#REF!,0),Sy_nop)</f>
        <v>#REF!</v>
      </c>
      <c r="I3" s="149" t="e">
        <f>INDEX(#REF!,MATCH(-187872572,#REF!,0),Sy_nop)</f>
        <v>#REF!</v>
      </c>
      <c r="J3" s="150" t="s">
        <v>275</v>
      </c>
      <c r="K3" s="160" t="e">
        <f>INDEX(#REF!,MATCH(-174564184,#REF!,0),Sy_nop)</f>
        <v>#REF!</v>
      </c>
      <c r="L3" s="149" t="e">
        <f>INDEX(#REF!,MATCH(-187872572,#REF!,0),Sy_nop)</f>
        <v>#REF!</v>
      </c>
      <c r="M3" s="150" t="s">
        <v>275</v>
      </c>
      <c r="N3" s="160" t="e">
        <f>INDEX(#REF!,MATCH(-174564184,#REF!,0),Sy_nop)</f>
        <v>#REF!</v>
      </c>
      <c r="O3" s="149" t="e">
        <f>INDEX(#REF!,MATCH(-187872572,#REF!,0),Sy_nop)</f>
        <v>#REF!</v>
      </c>
      <c r="P3" s="150" t="s">
        <v>275</v>
      </c>
      <c r="Q3" s="160" t="e">
        <f>INDEX(#REF!,MATCH(-174564184,#REF!,0),Sy_nop)</f>
        <v>#REF!</v>
      </c>
      <c r="R3" s="149" t="e">
        <f>INDEX(#REF!,MATCH(-187872572,#REF!,0),Sy_nop)</f>
        <v>#REF!</v>
      </c>
      <c r="S3" s="150" t="s">
        <v>275</v>
      </c>
      <c r="T3" s="160" t="e">
        <f>INDEX(#REF!,MATCH(-174564184,#REF!,0),Sy_nop)</f>
        <v>#REF!</v>
      </c>
      <c r="U3" s="149" t="e">
        <f>INDEX(#REF!,MATCH(-187872572,#REF!,0),Sy_nop)</f>
        <v>#REF!</v>
      </c>
      <c r="V3" s="150" t="s">
        <v>275</v>
      </c>
      <c r="W3" s="160" t="e">
        <f>INDEX(#REF!,MATCH(-174564184,#REF!,0),Sy_nop)</f>
        <v>#REF!</v>
      </c>
      <c r="X3" s="149" t="e">
        <f>INDEX(#REF!,MATCH(-187872572,#REF!,0),Sy_nop)</f>
        <v>#REF!</v>
      </c>
      <c r="Y3" s="150" t="s">
        <v>275</v>
      </c>
      <c r="Z3" s="160" t="e">
        <f>INDEX(#REF!,MATCH(-174564184,#REF!,0),Sy_nop)</f>
        <v>#REF!</v>
      </c>
      <c r="AA3" s="149" t="e">
        <f>INDEX(#REF!,MATCH(-187872572,#REF!,0),Sy_nop)</f>
        <v>#REF!</v>
      </c>
      <c r="AB3" s="150" t="s">
        <v>275</v>
      </c>
      <c r="AC3" s="160" t="e">
        <f>INDEX(#REF!,MATCH(-174564184,#REF!,0),Sy_nop)</f>
        <v>#REF!</v>
      </c>
      <c r="AD3" s="149" t="e">
        <f>INDEX(#REF!,MATCH(-187872572,#REF!,0),Sy_nop)</f>
        <v>#REF!</v>
      </c>
      <c r="AE3" s="150" t="s">
        <v>275</v>
      </c>
      <c r="AF3" s="160" t="e">
        <f>INDEX(#REF!,MATCH(-174564184,#REF!,0),Sy_nop)</f>
        <v>#REF!</v>
      </c>
      <c r="AG3" s="149" t="e">
        <f>INDEX(#REF!,MATCH(-187872572,#REF!,0),Sy_nop)</f>
        <v>#REF!</v>
      </c>
      <c r="AH3" s="150" t="s">
        <v>275</v>
      </c>
    </row>
    <row r="4" spans="1:35" ht="15" customHeight="1" thickBot="1">
      <c r="A4" s="44" t="e">
        <f>INDEX(#REF!,MATCH(-132999378,#REF!,0),Sy_nop)</f>
        <v>#REF!</v>
      </c>
      <c r="B4" s="161" t="e">
        <f>INDEX(#REF!,MATCH(155690330,#REF!,0),Sy_nop)</f>
        <v>#REF!</v>
      </c>
      <c r="C4" s="151" t="e">
        <f>INDEX(#REF!,MATCH(155690330,#REF!,0),Sy_nop)</f>
        <v>#REF!</v>
      </c>
      <c r="D4" s="152" t="e">
        <f>INDEX(#REF!,MATCH(29883458,#REF!,0),Sy_nop)</f>
        <v>#REF!</v>
      </c>
      <c r="E4" s="161" t="e">
        <f>INDEX(#REF!,MATCH(208275425,#REF!,0),Sy_nop)</f>
        <v>#REF!</v>
      </c>
      <c r="F4" s="151" t="e">
        <f>INDEX(#REF!,MATCH(208275425,#REF!,0),Sy_nop)</f>
        <v>#REF!</v>
      </c>
      <c r="G4" s="152" t="e">
        <f>INDEX(#REF!,MATCH(29883458,#REF!,0),Sy_nop)</f>
        <v>#REF!</v>
      </c>
      <c r="H4" s="161" t="e">
        <f>INDEX(#REF!,MATCH(179168049,#REF!,0),Sy_nop)</f>
        <v>#REF!</v>
      </c>
      <c r="I4" s="151" t="e">
        <f>INDEX(#REF!,MATCH(179168049,#REF!,0),Sy_nop)</f>
        <v>#REF!</v>
      </c>
      <c r="J4" s="152" t="e">
        <f>INDEX(#REF!,MATCH(29883458,#REF!,0),Sy_nop)</f>
        <v>#REF!</v>
      </c>
      <c r="K4" s="161" t="e">
        <f>INDEX(#REF!,MATCH(159560204,#REF!,0),Sy_nop)</f>
        <v>#REF!</v>
      </c>
      <c r="L4" s="151" t="e">
        <f>INDEX(#REF!,MATCH(159560204,#REF!,0),Sy_nop)</f>
        <v>#REF!</v>
      </c>
      <c r="M4" s="152" t="e">
        <f>INDEX(#REF!,MATCH(29883458,#REF!,0),Sy_nop)</f>
        <v>#REF!</v>
      </c>
      <c r="N4" s="161" t="e">
        <f>INDEX(#REF!,MATCH(6222509,#REF!,0),Sy_nop)</f>
        <v>#REF!</v>
      </c>
      <c r="O4" s="151" t="e">
        <f>INDEX(#REF!,MATCH(6222509,#REF!,0),Sy_nop)</f>
        <v>#REF!</v>
      </c>
      <c r="P4" s="152" t="e">
        <f>INDEX(#REF!,MATCH(29883458,#REF!,0),Sy_nop)</f>
        <v>#REF!</v>
      </c>
      <c r="Q4" s="161">
        <v>2014</v>
      </c>
      <c r="R4" s="151">
        <v>2014</v>
      </c>
      <c r="S4" s="152" t="e">
        <f>INDEX(#REF!,MATCH(29883458,#REF!,0),Sy_nop)</f>
        <v>#REF!</v>
      </c>
      <c r="T4" s="161" t="e">
        <f>INDEX(#REF!,MATCH(113048160,#REF!,0),Sy_nop)</f>
        <v>#REF!</v>
      </c>
      <c r="U4" s="151" t="e">
        <f>INDEX(#REF!,MATCH(113048160,#REF!,0),Sy_nop)</f>
        <v>#REF!</v>
      </c>
      <c r="V4" s="152" t="e">
        <f>INDEX(#REF!,MATCH(29883458,#REF!,0),Sy_nop)</f>
        <v>#REF!</v>
      </c>
      <c r="W4" s="161" t="e">
        <f>INDEX(#REF!,MATCH(54739964,#REF!,0),Sy_nop)</f>
        <v>#REF!</v>
      </c>
      <c r="X4" s="151" t="e">
        <f>INDEX(#REF!,MATCH(54739964,#REF!,0),Sy_nop)</f>
        <v>#REF!</v>
      </c>
      <c r="Y4" s="152" t="e">
        <f>INDEX(#REF!,MATCH(29883458,#REF!,0),Sy_nop)</f>
        <v>#REF!</v>
      </c>
      <c r="Z4" s="161" t="e">
        <f>INDEX(#REF!,MATCH(155842130,#REF!,0),Sy_nop)</f>
        <v>#REF!</v>
      </c>
      <c r="AA4" s="151" t="e">
        <f>INDEX(#REF!,MATCH(155842130,#REF!,0),Sy_nop)</f>
        <v>#REF!</v>
      </c>
      <c r="AB4" s="152" t="e">
        <f>INDEX(#REF!,MATCH(29883458,#REF!,0),Sy_nop)</f>
        <v>#REF!</v>
      </c>
      <c r="AC4" s="161" t="e">
        <f>INDEX(#REF!,MATCH(3931748,#REF!,0),Sy_nop)</f>
        <v>#REF!</v>
      </c>
      <c r="AD4" s="151" t="e">
        <f>INDEX(#REF!,MATCH(3931748,#REF!,0),Sy_nop)</f>
        <v>#REF!</v>
      </c>
      <c r="AE4" s="152" t="e">
        <f>INDEX(#REF!,MATCH(29883458,#REF!,0),Sy_nop)</f>
        <v>#REF!</v>
      </c>
      <c r="AF4" s="161" t="e">
        <f>INDEX(#REF!,MATCH(-200839276,#REF!,0),Sy_nop)</f>
        <v>#REF!</v>
      </c>
      <c r="AG4" s="151" t="e">
        <f>INDEX(#REF!,MATCH(-200839276,#REF!,0),Sy_nop)</f>
        <v>#REF!</v>
      </c>
      <c r="AH4" s="152" t="e">
        <f>INDEX(#REF!,MATCH(29883458,#REF!,0),Sy_nop)</f>
        <v>#REF!</v>
      </c>
    </row>
    <row r="5" spans="1:35" ht="15" hidden="1" customHeight="1" outlineLevel="1" thickTop="1">
      <c r="A5" s="45" t="e">
        <f>INDEX(#REF!,MATCH(-84034894,#REF!,0),Sy_nop)</f>
        <v>#REF!</v>
      </c>
      <c r="B5" s="142">
        <v>17484</v>
      </c>
      <c r="C5" s="14">
        <v>17484</v>
      </c>
      <c r="D5" s="14">
        <f>+B5-C5</f>
        <v>0</v>
      </c>
      <c r="E5" s="142">
        <v>5932</v>
      </c>
      <c r="F5" s="14">
        <v>5932</v>
      </c>
      <c r="G5" s="14">
        <f>+E5-F5</f>
        <v>0</v>
      </c>
      <c r="H5" s="142">
        <v>11552</v>
      </c>
      <c r="I5" s="14">
        <v>11552</v>
      </c>
      <c r="J5" s="14">
        <f>+H5-I5</f>
        <v>0</v>
      </c>
      <c r="K5" s="142">
        <v>5726</v>
      </c>
      <c r="L5" s="14">
        <v>5726</v>
      </c>
      <c r="M5" s="14">
        <f>+K5-L5</f>
        <v>0</v>
      </c>
      <c r="N5" s="142">
        <v>5826</v>
      </c>
      <c r="O5" s="14">
        <v>5826</v>
      </c>
      <c r="P5" s="14">
        <f>+N5-O5</f>
        <v>0</v>
      </c>
      <c r="Q5" s="142">
        <v>35913</v>
      </c>
      <c r="R5" s="14">
        <v>35913</v>
      </c>
      <c r="S5" s="14">
        <f t="shared" ref="S5:S24" si="0">+Q5-R5</f>
        <v>0</v>
      </c>
      <c r="T5" s="142">
        <v>7683</v>
      </c>
      <c r="U5" s="14">
        <v>7683</v>
      </c>
      <c r="V5" s="14">
        <f>+T5-U5</f>
        <v>0</v>
      </c>
      <c r="W5" s="142">
        <v>28230</v>
      </c>
      <c r="X5" s="14">
        <v>28230</v>
      </c>
      <c r="Y5" s="14">
        <f>+W5-X5</f>
        <v>0</v>
      </c>
      <c r="Z5" s="142">
        <v>9098</v>
      </c>
      <c r="AA5" s="14">
        <v>9098</v>
      </c>
      <c r="AB5" s="14">
        <f>+Z5-AA5</f>
        <v>0</v>
      </c>
      <c r="AC5" s="142">
        <v>19132</v>
      </c>
      <c r="AD5" s="14">
        <v>19132</v>
      </c>
      <c r="AE5" s="14">
        <f>+AC5-AD5</f>
        <v>0</v>
      </c>
      <c r="AF5" s="142">
        <v>9307</v>
      </c>
      <c r="AG5" s="14">
        <v>9307</v>
      </c>
      <c r="AH5" s="14">
        <f>+AF5-AG5</f>
        <v>0</v>
      </c>
      <c r="AI5" s="163"/>
    </row>
    <row r="6" spans="1:35" ht="15" hidden="1" customHeight="1" outlineLevel="1">
      <c r="A6" s="46" t="e">
        <f>INDEX(#REF!,MATCH(186159882,#REF!,0),Sy_nop)</f>
        <v>#REF!</v>
      </c>
      <c r="B6" s="142">
        <v>-248</v>
      </c>
      <c r="C6" s="14">
        <v>-248</v>
      </c>
      <c r="D6" s="14">
        <f t="shared" ref="D6:D24" si="1">+B6-C6</f>
        <v>0</v>
      </c>
      <c r="E6" s="142">
        <v>-84</v>
      </c>
      <c r="F6" s="14">
        <v>-84</v>
      </c>
      <c r="G6" s="14">
        <f t="shared" ref="G6:G24" si="2">+E6-F6</f>
        <v>0</v>
      </c>
      <c r="H6" s="142">
        <v>-164</v>
      </c>
      <c r="I6" s="14">
        <v>-164</v>
      </c>
      <c r="J6" s="14">
        <f t="shared" ref="J6:J24" si="3">+H6-I6</f>
        <v>0</v>
      </c>
      <c r="K6" s="142">
        <v>-82</v>
      </c>
      <c r="L6" s="14">
        <v>-82</v>
      </c>
      <c r="M6" s="14">
        <f t="shared" ref="M6:M24" si="4">+K6-L6</f>
        <v>0</v>
      </c>
      <c r="N6" s="142">
        <v>-81</v>
      </c>
      <c r="O6" s="14">
        <v>-81</v>
      </c>
      <c r="P6" s="14">
        <f t="shared" ref="P6:P24" si="5">+N6-O6</f>
        <v>0</v>
      </c>
      <c r="Q6" s="142">
        <v>-342</v>
      </c>
      <c r="R6" s="14">
        <v>-342</v>
      </c>
      <c r="S6" s="14">
        <f t="shared" si="0"/>
        <v>0</v>
      </c>
      <c r="T6" s="142">
        <v>-95</v>
      </c>
      <c r="U6" s="14">
        <v>-95</v>
      </c>
      <c r="V6" s="14">
        <f t="shared" ref="V6:V24" si="6">+T6-U6</f>
        <v>0</v>
      </c>
      <c r="W6" s="142">
        <v>-247</v>
      </c>
      <c r="X6" s="14">
        <v>-247</v>
      </c>
      <c r="Y6" s="14">
        <f t="shared" ref="Y6:Y24" si="7">+W6-X6</f>
        <v>0</v>
      </c>
      <c r="Z6" s="142">
        <v>-83</v>
      </c>
      <c r="AA6" s="14">
        <v>-83</v>
      </c>
      <c r="AB6" s="14">
        <f t="shared" ref="AB6:AB24" si="8">+Z6-AA6</f>
        <v>0</v>
      </c>
      <c r="AC6" s="142">
        <v>-163</v>
      </c>
      <c r="AD6" s="14">
        <v>-163</v>
      </c>
      <c r="AE6" s="14">
        <f t="shared" ref="AE6:AE24" si="9">+AC6-AD6</f>
        <v>0</v>
      </c>
      <c r="AF6" s="142">
        <v>-78</v>
      </c>
      <c r="AG6" s="14">
        <v>-78</v>
      </c>
      <c r="AH6" s="14">
        <f t="shared" ref="AH6:AH24" si="10">+AF6-AG6</f>
        <v>0</v>
      </c>
      <c r="AI6" s="163"/>
    </row>
    <row r="7" spans="1:35" ht="15" customHeight="1" collapsed="1" thickTop="1">
      <c r="A7" s="47" t="e">
        <f>INDEX(#REF!,MATCH(12522991,#REF!,0),Sy_nop)</f>
        <v>#REF!</v>
      </c>
      <c r="B7" s="142">
        <v>-15986</v>
      </c>
      <c r="C7" s="14">
        <v>-16002</v>
      </c>
      <c r="D7" s="14">
        <f t="shared" si="1"/>
        <v>16</v>
      </c>
      <c r="E7" s="142">
        <v>-5922</v>
      </c>
      <c r="F7" s="14">
        <v>-5939</v>
      </c>
      <c r="G7" s="14">
        <f t="shared" si="2"/>
        <v>17</v>
      </c>
      <c r="H7" s="142">
        <v>-10063</v>
      </c>
      <c r="I7" s="14">
        <v>-10063</v>
      </c>
      <c r="J7" s="14">
        <f t="shared" si="3"/>
        <v>0</v>
      </c>
      <c r="K7" s="142">
        <v>-4987</v>
      </c>
      <c r="L7" s="14">
        <v>-4987</v>
      </c>
      <c r="M7" s="14">
        <f t="shared" si="4"/>
        <v>0</v>
      </c>
      <c r="N7" s="142">
        <v>-5076</v>
      </c>
      <c r="O7" s="14">
        <v>-5076</v>
      </c>
      <c r="P7" s="14">
        <f t="shared" si="5"/>
        <v>0</v>
      </c>
      <c r="Q7" s="142">
        <v>-32613</v>
      </c>
      <c r="R7" s="14">
        <v>-32504</v>
      </c>
      <c r="S7" s="14">
        <f t="shared" si="0"/>
        <v>-109</v>
      </c>
      <c r="T7" s="142">
        <v>-7623</v>
      </c>
      <c r="U7" s="14">
        <v>-7514</v>
      </c>
      <c r="V7" s="14">
        <f t="shared" si="6"/>
        <v>-109</v>
      </c>
      <c r="W7" s="142">
        <v>-24990</v>
      </c>
      <c r="X7" s="14">
        <v>-24989</v>
      </c>
      <c r="Y7" s="14">
        <f t="shared" si="7"/>
        <v>-1</v>
      </c>
      <c r="Z7" s="142">
        <v>-7903</v>
      </c>
      <c r="AA7" s="14">
        <v>-7903</v>
      </c>
      <c r="AB7" s="14">
        <f t="shared" si="8"/>
        <v>0</v>
      </c>
      <c r="AC7" s="142">
        <v>-17086</v>
      </c>
      <c r="AD7" s="14">
        <v>-17086</v>
      </c>
      <c r="AE7" s="14">
        <f t="shared" si="9"/>
        <v>0</v>
      </c>
      <c r="AF7" s="142">
        <v>-8447</v>
      </c>
      <c r="AG7" s="14">
        <v>-8447</v>
      </c>
      <c r="AH7" s="14">
        <f t="shared" si="10"/>
        <v>0</v>
      </c>
      <c r="AI7" s="163"/>
    </row>
    <row r="8" spans="1:35" ht="15" customHeight="1">
      <c r="A8" s="80" t="e">
        <f>INDEX(#REF!,MATCH(144636692,#REF!,0),Sy_nop)</f>
        <v>#REF!</v>
      </c>
      <c r="B8" s="238">
        <v>1251</v>
      </c>
      <c r="C8" s="242">
        <v>1234</v>
      </c>
      <c r="D8" s="242">
        <f t="shared" si="1"/>
        <v>17</v>
      </c>
      <c r="E8" s="238">
        <v>-74</v>
      </c>
      <c r="F8" s="242">
        <v>-91</v>
      </c>
      <c r="G8" s="242">
        <f t="shared" si="2"/>
        <v>17</v>
      </c>
      <c r="H8" s="238">
        <v>1325</v>
      </c>
      <c r="I8" s="242">
        <v>1325</v>
      </c>
      <c r="J8" s="242">
        <f t="shared" si="3"/>
        <v>0</v>
      </c>
      <c r="K8" s="238">
        <v>657</v>
      </c>
      <c r="L8" s="242">
        <v>657</v>
      </c>
      <c r="M8" s="242">
        <f t="shared" si="4"/>
        <v>0</v>
      </c>
      <c r="N8" s="238">
        <v>668</v>
      </c>
      <c r="O8" s="242">
        <v>668</v>
      </c>
      <c r="P8" s="242">
        <f t="shared" si="5"/>
        <v>0</v>
      </c>
      <c r="Q8" s="238">
        <v>2958</v>
      </c>
      <c r="R8" s="242">
        <v>3067</v>
      </c>
      <c r="S8" s="242">
        <f t="shared" si="0"/>
        <v>-109</v>
      </c>
      <c r="T8" s="238">
        <v>-35</v>
      </c>
      <c r="U8" s="242">
        <v>73</v>
      </c>
      <c r="V8" s="242">
        <f t="shared" si="6"/>
        <v>-108</v>
      </c>
      <c r="W8" s="238">
        <v>2993</v>
      </c>
      <c r="X8" s="242">
        <v>2993</v>
      </c>
      <c r="Y8" s="242">
        <f t="shared" si="7"/>
        <v>0</v>
      </c>
      <c r="Z8" s="238">
        <v>1111</v>
      </c>
      <c r="AA8" s="242">
        <v>1111</v>
      </c>
      <c r="AB8" s="242">
        <f t="shared" si="8"/>
        <v>0</v>
      </c>
      <c r="AC8" s="238">
        <v>1882</v>
      </c>
      <c r="AD8" s="242">
        <v>1882</v>
      </c>
      <c r="AE8" s="242">
        <f t="shared" si="9"/>
        <v>0</v>
      </c>
      <c r="AF8" s="238">
        <v>781</v>
      </c>
      <c r="AG8" s="242">
        <v>781</v>
      </c>
      <c r="AH8" s="242">
        <f t="shared" si="10"/>
        <v>0</v>
      </c>
      <c r="AI8" s="163"/>
    </row>
    <row r="9" spans="1:35" ht="15" customHeight="1">
      <c r="A9" s="46" t="e">
        <f>INDEX(#REF!,MATCH(-26526799,#REF!,0),Sy_nop)</f>
        <v>#REF!</v>
      </c>
      <c r="B9" s="142">
        <v>292</v>
      </c>
      <c r="C9" s="14">
        <v>292</v>
      </c>
      <c r="D9" s="14">
        <f t="shared" si="1"/>
        <v>0</v>
      </c>
      <c r="E9" s="142">
        <v>112</v>
      </c>
      <c r="F9" s="14">
        <v>112</v>
      </c>
      <c r="G9" s="14">
        <v>0</v>
      </c>
      <c r="H9" s="142">
        <v>180</v>
      </c>
      <c r="I9" s="14">
        <v>180</v>
      </c>
      <c r="J9" s="14">
        <f t="shared" si="3"/>
        <v>0</v>
      </c>
      <c r="K9" s="142">
        <v>94</v>
      </c>
      <c r="L9" s="14">
        <v>94</v>
      </c>
      <c r="M9" s="14">
        <f t="shared" si="4"/>
        <v>0</v>
      </c>
      <c r="N9" s="142">
        <v>86</v>
      </c>
      <c r="O9" s="14">
        <v>86</v>
      </c>
      <c r="P9" s="14">
        <f t="shared" si="5"/>
        <v>0</v>
      </c>
      <c r="Q9" s="142">
        <v>337</v>
      </c>
      <c r="R9" s="14">
        <v>314</v>
      </c>
      <c r="S9" s="14">
        <f t="shared" si="0"/>
        <v>23</v>
      </c>
      <c r="T9" s="142">
        <v>99</v>
      </c>
      <c r="U9" s="14">
        <v>99</v>
      </c>
      <c r="V9" s="14">
        <f t="shared" si="6"/>
        <v>0</v>
      </c>
      <c r="W9" s="142">
        <v>238</v>
      </c>
      <c r="X9" s="14">
        <v>215</v>
      </c>
      <c r="Y9" s="14">
        <f t="shared" si="7"/>
        <v>23</v>
      </c>
      <c r="Z9" s="142">
        <v>70</v>
      </c>
      <c r="AA9" s="14">
        <v>69</v>
      </c>
      <c r="AB9" s="14">
        <f t="shared" si="8"/>
        <v>1</v>
      </c>
      <c r="AC9" s="142">
        <v>168</v>
      </c>
      <c r="AD9" s="14">
        <v>145</v>
      </c>
      <c r="AE9" s="14">
        <f t="shared" si="9"/>
        <v>23</v>
      </c>
      <c r="AF9" s="142">
        <v>91</v>
      </c>
      <c r="AG9" s="14">
        <v>68</v>
      </c>
      <c r="AH9" s="14">
        <f t="shared" si="10"/>
        <v>23</v>
      </c>
      <c r="AI9" s="163"/>
    </row>
    <row r="10" spans="1:35" ht="15" hidden="1" customHeight="1" outlineLevel="1">
      <c r="A10" s="46" t="e">
        <f>INDEX(#REF!,MATCH(-66557129,#REF!,0),Sy_nop)</f>
        <v>#REF!</v>
      </c>
      <c r="B10" s="142">
        <v>-662</v>
      </c>
      <c r="C10" s="14">
        <v>-662</v>
      </c>
      <c r="D10" s="14">
        <f t="shared" si="1"/>
        <v>0</v>
      </c>
      <c r="E10" s="142">
        <v>-215</v>
      </c>
      <c r="F10" s="14">
        <v>-215</v>
      </c>
      <c r="G10" s="14">
        <f t="shared" si="2"/>
        <v>0</v>
      </c>
      <c r="H10" s="142">
        <v>-447</v>
      </c>
      <c r="I10" s="14">
        <v>-447</v>
      </c>
      <c r="J10" s="14">
        <f t="shared" si="3"/>
        <v>0</v>
      </c>
      <c r="K10" s="142">
        <v>-223</v>
      </c>
      <c r="L10" s="14">
        <v>-223</v>
      </c>
      <c r="M10" s="14">
        <f t="shared" si="4"/>
        <v>0</v>
      </c>
      <c r="N10" s="142">
        <v>-224</v>
      </c>
      <c r="O10" s="14">
        <v>-224</v>
      </c>
      <c r="P10" s="14">
        <f t="shared" si="5"/>
        <v>0</v>
      </c>
      <c r="Q10" s="142">
        <v>-950</v>
      </c>
      <c r="R10" s="14">
        <v>-950</v>
      </c>
      <c r="S10" s="14">
        <f t="shared" si="0"/>
        <v>0</v>
      </c>
      <c r="T10" s="142">
        <v>-272</v>
      </c>
      <c r="U10" s="14">
        <v>-272</v>
      </c>
      <c r="V10" s="14">
        <f t="shared" si="6"/>
        <v>0</v>
      </c>
      <c r="W10" s="142">
        <v>-678</v>
      </c>
      <c r="X10" s="14">
        <v>-678</v>
      </c>
      <c r="Y10" s="14">
        <f t="shared" si="7"/>
        <v>0</v>
      </c>
      <c r="Z10" s="142">
        <v>-240</v>
      </c>
      <c r="AA10" s="14">
        <v>-240</v>
      </c>
      <c r="AB10" s="14">
        <f t="shared" si="8"/>
        <v>0</v>
      </c>
      <c r="AC10" s="142">
        <v>-438</v>
      </c>
      <c r="AD10" s="14">
        <v>-438</v>
      </c>
      <c r="AE10" s="14">
        <f t="shared" si="9"/>
        <v>0</v>
      </c>
      <c r="AF10" s="142">
        <v>-220</v>
      </c>
      <c r="AG10" s="14">
        <v>-220</v>
      </c>
      <c r="AH10" s="14">
        <f t="shared" si="10"/>
        <v>0</v>
      </c>
      <c r="AI10" s="163"/>
    </row>
    <row r="11" spans="1:35" ht="15" hidden="1" customHeight="1" outlineLevel="1">
      <c r="A11" s="46" t="e">
        <f>INDEX(#REF!,MATCH(-71631928,#REF!,0),Sy_nop)</f>
        <v>#REF!</v>
      </c>
      <c r="B11" s="142">
        <v>-275</v>
      </c>
      <c r="C11" s="14">
        <v>-275</v>
      </c>
      <c r="D11" s="14">
        <f t="shared" si="1"/>
        <v>0</v>
      </c>
      <c r="E11" s="142">
        <v>-80</v>
      </c>
      <c r="F11" s="14">
        <v>-80</v>
      </c>
      <c r="G11" s="14">
        <f t="shared" si="2"/>
        <v>0</v>
      </c>
      <c r="H11" s="142">
        <v>-195</v>
      </c>
      <c r="I11" s="14">
        <v>-195</v>
      </c>
      <c r="J11" s="14">
        <f t="shared" si="3"/>
        <v>0</v>
      </c>
      <c r="K11" s="142">
        <v>-98</v>
      </c>
      <c r="L11" s="14">
        <v>-98</v>
      </c>
      <c r="M11" s="14">
        <f t="shared" si="4"/>
        <v>0</v>
      </c>
      <c r="N11" s="142">
        <v>-97</v>
      </c>
      <c r="O11" s="14">
        <v>-97</v>
      </c>
      <c r="P11" s="14">
        <f t="shared" si="5"/>
        <v>0</v>
      </c>
      <c r="Q11" s="142">
        <v>-416</v>
      </c>
      <c r="R11" s="14">
        <v>-416</v>
      </c>
      <c r="S11" s="14">
        <f t="shared" si="0"/>
        <v>0</v>
      </c>
      <c r="T11" s="142">
        <v>-103</v>
      </c>
      <c r="U11" s="14">
        <v>-103</v>
      </c>
      <c r="V11" s="14">
        <f t="shared" si="6"/>
        <v>0</v>
      </c>
      <c r="W11" s="142">
        <v>-313</v>
      </c>
      <c r="X11" s="14">
        <v>-313</v>
      </c>
      <c r="Y11" s="14">
        <f t="shared" si="7"/>
        <v>0</v>
      </c>
      <c r="Z11" s="142">
        <v>-95</v>
      </c>
      <c r="AA11" s="14">
        <v>-95</v>
      </c>
      <c r="AB11" s="14">
        <f t="shared" si="8"/>
        <v>0</v>
      </c>
      <c r="AC11" s="142">
        <v>-218</v>
      </c>
      <c r="AD11" s="14">
        <v>-218</v>
      </c>
      <c r="AE11" s="14">
        <f t="shared" si="9"/>
        <v>0</v>
      </c>
      <c r="AF11" s="142">
        <v>-112</v>
      </c>
      <c r="AG11" s="14">
        <v>-112</v>
      </c>
      <c r="AH11" s="14">
        <f t="shared" si="10"/>
        <v>0</v>
      </c>
      <c r="AI11" s="163"/>
    </row>
    <row r="12" spans="1:35" ht="15" hidden="1" customHeight="1" outlineLevel="1">
      <c r="A12" s="46" t="e">
        <f>INDEX(#REF!,MATCH(167569510,#REF!,0),Sy_nop)</f>
        <v>#REF!</v>
      </c>
      <c r="B12" s="142">
        <v>-522</v>
      </c>
      <c r="C12" s="14">
        <v>-522</v>
      </c>
      <c r="D12" s="14">
        <f t="shared" si="1"/>
        <v>0</v>
      </c>
      <c r="E12" s="142">
        <v>-353</v>
      </c>
      <c r="F12" s="14">
        <v>-353</v>
      </c>
      <c r="G12" s="14">
        <f t="shared" si="2"/>
        <v>0</v>
      </c>
      <c r="H12" s="142">
        <v>-168</v>
      </c>
      <c r="I12" s="14">
        <v>-168</v>
      </c>
      <c r="J12" s="14">
        <f t="shared" si="3"/>
        <v>0</v>
      </c>
      <c r="K12" s="142">
        <v>-108</v>
      </c>
      <c r="L12" s="14">
        <v>-108</v>
      </c>
      <c r="M12" s="14">
        <f t="shared" si="4"/>
        <v>0</v>
      </c>
      <c r="N12" s="142">
        <v>-61</v>
      </c>
      <c r="O12" s="14">
        <v>-61</v>
      </c>
      <c r="P12" s="14">
        <f t="shared" si="5"/>
        <v>0</v>
      </c>
      <c r="Q12" s="142">
        <v>-460</v>
      </c>
      <c r="R12" s="14">
        <v>-460</v>
      </c>
      <c r="S12" s="14">
        <f t="shared" si="0"/>
        <v>0</v>
      </c>
      <c r="T12" s="142">
        <v>-64</v>
      </c>
      <c r="U12" s="14">
        <v>-64</v>
      </c>
      <c r="V12" s="14">
        <f t="shared" si="6"/>
        <v>0</v>
      </c>
      <c r="W12" s="142">
        <v>-396</v>
      </c>
      <c r="X12" s="14">
        <v>-396</v>
      </c>
      <c r="Y12" s="14">
        <f t="shared" si="7"/>
        <v>0</v>
      </c>
      <c r="Z12" s="142">
        <v>-138</v>
      </c>
      <c r="AA12" s="14">
        <v>-138</v>
      </c>
      <c r="AB12" s="14">
        <f t="shared" si="8"/>
        <v>0</v>
      </c>
      <c r="AC12" s="142">
        <v>-258</v>
      </c>
      <c r="AD12" s="14">
        <v>-258</v>
      </c>
      <c r="AE12" s="14">
        <f t="shared" si="9"/>
        <v>0</v>
      </c>
      <c r="AF12" s="142">
        <v>-182</v>
      </c>
      <c r="AG12" s="14">
        <v>-182</v>
      </c>
      <c r="AH12" s="14">
        <f t="shared" si="10"/>
        <v>0</v>
      </c>
      <c r="AI12" s="163"/>
    </row>
    <row r="13" spans="1:35" ht="15" hidden="1" customHeight="1" outlineLevel="1">
      <c r="A13" s="46" t="e">
        <f>INDEX(#REF!,MATCH(80560938,#REF!,0),Sy_nop)</f>
        <v>#REF!</v>
      </c>
      <c r="B13" s="142">
        <v>-16</v>
      </c>
      <c r="C13" s="14">
        <v>-16</v>
      </c>
      <c r="D13" s="14">
        <f t="shared" si="1"/>
        <v>0</v>
      </c>
      <c r="E13" s="142">
        <v>-5</v>
      </c>
      <c r="F13" s="14">
        <v>-5</v>
      </c>
      <c r="G13" s="14">
        <f t="shared" si="2"/>
        <v>0</v>
      </c>
      <c r="H13" s="142">
        <v>-11</v>
      </c>
      <c r="I13" s="14">
        <v>-11</v>
      </c>
      <c r="J13" s="14">
        <f t="shared" si="3"/>
        <v>0</v>
      </c>
      <c r="K13" s="142">
        <v>-7</v>
      </c>
      <c r="L13" s="14">
        <v>-7</v>
      </c>
      <c r="M13" s="14">
        <f t="shared" si="4"/>
        <v>0</v>
      </c>
      <c r="N13" s="142">
        <v>-4</v>
      </c>
      <c r="O13" s="14">
        <v>-4</v>
      </c>
      <c r="P13" s="14">
        <f t="shared" si="5"/>
        <v>0</v>
      </c>
      <c r="Q13" s="142">
        <v>-25</v>
      </c>
      <c r="R13" s="14">
        <v>-25</v>
      </c>
      <c r="S13" s="14">
        <f t="shared" si="0"/>
        <v>0</v>
      </c>
      <c r="T13" s="142">
        <v>-14</v>
      </c>
      <c r="U13" s="14">
        <v>-14</v>
      </c>
      <c r="V13" s="14">
        <f t="shared" si="6"/>
        <v>0</v>
      </c>
      <c r="W13" s="142">
        <v>-11</v>
      </c>
      <c r="X13" s="14">
        <v>-11</v>
      </c>
      <c r="Y13" s="14">
        <f t="shared" si="7"/>
        <v>0</v>
      </c>
      <c r="Z13" s="142">
        <v>-4</v>
      </c>
      <c r="AA13" s="14">
        <v>-4</v>
      </c>
      <c r="AB13" s="14">
        <f t="shared" si="8"/>
        <v>0</v>
      </c>
      <c r="AC13" s="142">
        <v>-6</v>
      </c>
      <c r="AD13" s="14">
        <v>-6</v>
      </c>
      <c r="AE13" s="14">
        <f t="shared" si="9"/>
        <v>0</v>
      </c>
      <c r="AF13" s="142">
        <v>-3</v>
      </c>
      <c r="AG13" s="14">
        <v>-3</v>
      </c>
      <c r="AH13" s="14">
        <f t="shared" si="10"/>
        <v>0</v>
      </c>
      <c r="AI13" s="163"/>
    </row>
    <row r="14" spans="1:35" ht="15" hidden="1" customHeight="1" outlineLevel="1">
      <c r="A14" s="47" t="e">
        <f>INDEX(#REF!,MATCH(164992196,#REF!,0),Sy_nop)</f>
        <v>#REF!</v>
      </c>
      <c r="B14" s="142">
        <v>-345</v>
      </c>
      <c r="C14" s="14">
        <v>-345</v>
      </c>
      <c r="D14" s="14">
        <f t="shared" si="1"/>
        <v>0</v>
      </c>
      <c r="E14" s="142">
        <v>-111</v>
      </c>
      <c r="F14" s="14">
        <v>-111</v>
      </c>
      <c r="G14" s="14">
        <f t="shared" si="2"/>
        <v>0</v>
      </c>
      <c r="H14" s="142">
        <v>-234</v>
      </c>
      <c r="I14" s="14">
        <v>-234</v>
      </c>
      <c r="J14" s="14">
        <f t="shared" si="3"/>
        <v>0</v>
      </c>
      <c r="K14" s="142">
        <v>-93</v>
      </c>
      <c r="L14" s="14">
        <v>-93</v>
      </c>
      <c r="M14" s="14">
        <f t="shared" si="4"/>
        <v>0</v>
      </c>
      <c r="N14" s="142">
        <v>-141</v>
      </c>
      <c r="O14" s="14">
        <v>-141</v>
      </c>
      <c r="P14" s="14">
        <f t="shared" si="5"/>
        <v>0</v>
      </c>
      <c r="Q14" s="142">
        <v>-476</v>
      </c>
      <c r="R14" s="14">
        <v>-476</v>
      </c>
      <c r="S14" s="14">
        <f t="shared" si="0"/>
        <v>0</v>
      </c>
      <c r="T14" s="142">
        <v>-143</v>
      </c>
      <c r="U14" s="14">
        <v>-143</v>
      </c>
      <c r="V14" s="14">
        <f t="shared" si="6"/>
        <v>0</v>
      </c>
      <c r="W14" s="142">
        <v>-333</v>
      </c>
      <c r="X14" s="14">
        <v>-333</v>
      </c>
      <c r="Y14" s="14">
        <f t="shared" si="7"/>
        <v>0</v>
      </c>
      <c r="Z14" s="142">
        <v>-133</v>
      </c>
      <c r="AA14" s="14">
        <v>-133</v>
      </c>
      <c r="AB14" s="14">
        <f t="shared" si="8"/>
        <v>0</v>
      </c>
      <c r="AC14" s="142">
        <v>-200</v>
      </c>
      <c r="AD14" s="14">
        <v>-200</v>
      </c>
      <c r="AE14" s="14">
        <f t="shared" si="9"/>
        <v>0</v>
      </c>
      <c r="AF14" s="142">
        <v>-101</v>
      </c>
      <c r="AG14" s="14">
        <v>-101</v>
      </c>
      <c r="AH14" s="14">
        <f t="shared" si="10"/>
        <v>0</v>
      </c>
      <c r="AI14" s="163"/>
    </row>
    <row r="15" spans="1:35" ht="15" customHeight="1" collapsed="1">
      <c r="A15" s="48" t="e">
        <f>INDEX(#REF!,MATCH(14475933,#REF!,0),Sy_nop)</f>
        <v>#REF!</v>
      </c>
      <c r="B15" s="238">
        <v>-277</v>
      </c>
      <c r="C15" s="242">
        <v>-294</v>
      </c>
      <c r="D15" s="242">
        <f t="shared" si="1"/>
        <v>17</v>
      </c>
      <c r="E15" s="238">
        <v>-728</v>
      </c>
      <c r="F15" s="242">
        <v>-744</v>
      </c>
      <c r="G15" s="242">
        <f t="shared" si="2"/>
        <v>16</v>
      </c>
      <c r="H15" s="238">
        <v>451</v>
      </c>
      <c r="I15" s="242">
        <v>451</v>
      </c>
      <c r="J15" s="242">
        <f t="shared" si="3"/>
        <v>0</v>
      </c>
      <c r="K15" s="238">
        <v>222</v>
      </c>
      <c r="L15" s="242">
        <v>222</v>
      </c>
      <c r="M15" s="242">
        <f t="shared" si="4"/>
        <v>0</v>
      </c>
      <c r="N15" s="238">
        <v>228</v>
      </c>
      <c r="O15" s="242">
        <v>228</v>
      </c>
      <c r="P15" s="242">
        <f t="shared" si="5"/>
        <v>0</v>
      </c>
      <c r="Q15" s="238">
        <v>969</v>
      </c>
      <c r="R15" s="242">
        <v>1054</v>
      </c>
      <c r="S15" s="242">
        <f t="shared" si="0"/>
        <v>-85</v>
      </c>
      <c r="T15" s="238">
        <v>-532</v>
      </c>
      <c r="U15" s="242">
        <v>-424</v>
      </c>
      <c r="V15" s="242">
        <f t="shared" si="6"/>
        <v>-108</v>
      </c>
      <c r="W15" s="238">
        <v>1501</v>
      </c>
      <c r="X15" s="242">
        <v>1478</v>
      </c>
      <c r="Y15" s="242">
        <f t="shared" si="7"/>
        <v>23</v>
      </c>
      <c r="Z15" s="238">
        <v>571</v>
      </c>
      <c r="AA15" s="242">
        <v>570</v>
      </c>
      <c r="AB15" s="242">
        <f t="shared" si="8"/>
        <v>1</v>
      </c>
      <c r="AC15" s="238">
        <v>930</v>
      </c>
      <c r="AD15" s="242">
        <v>908</v>
      </c>
      <c r="AE15" s="242">
        <f t="shared" si="9"/>
        <v>22</v>
      </c>
      <c r="AF15" s="238">
        <v>255</v>
      </c>
      <c r="AG15" s="242">
        <v>232</v>
      </c>
      <c r="AH15" s="242">
        <f t="shared" si="10"/>
        <v>23</v>
      </c>
      <c r="AI15" s="163"/>
    </row>
    <row r="16" spans="1:35" ht="15" hidden="1" customHeight="1" outlineLevel="1">
      <c r="A16" s="46" t="e">
        <f>INDEX(#REF!,MATCH(76811971,#REF!,0),Sy_nop)</f>
        <v>#REF!</v>
      </c>
      <c r="B16" s="142">
        <v>269</v>
      </c>
      <c r="C16" s="14">
        <v>269</v>
      </c>
      <c r="D16" s="14">
        <f t="shared" si="1"/>
        <v>0</v>
      </c>
      <c r="E16" s="142">
        <v>98</v>
      </c>
      <c r="F16" s="14">
        <v>98</v>
      </c>
      <c r="G16" s="14">
        <f t="shared" si="2"/>
        <v>0</v>
      </c>
      <c r="H16" s="142">
        <v>171</v>
      </c>
      <c r="I16" s="14">
        <v>171</v>
      </c>
      <c r="J16" s="14">
        <f t="shared" si="3"/>
        <v>0</v>
      </c>
      <c r="K16" s="142">
        <v>126</v>
      </c>
      <c r="L16" s="14">
        <v>126</v>
      </c>
      <c r="M16" s="14">
        <f t="shared" si="4"/>
        <v>0</v>
      </c>
      <c r="N16" s="142">
        <v>44</v>
      </c>
      <c r="O16" s="14">
        <v>44</v>
      </c>
      <c r="P16" s="14">
        <f t="shared" si="5"/>
        <v>0</v>
      </c>
      <c r="Q16" s="142">
        <v>180</v>
      </c>
      <c r="R16" s="14">
        <v>180</v>
      </c>
      <c r="S16" s="14">
        <f t="shared" si="0"/>
        <v>0</v>
      </c>
      <c r="T16" s="142">
        <v>23</v>
      </c>
      <c r="U16" s="14">
        <v>23</v>
      </c>
      <c r="V16" s="14">
        <f t="shared" si="6"/>
        <v>0</v>
      </c>
      <c r="W16" s="142">
        <v>157</v>
      </c>
      <c r="X16" s="14">
        <v>157</v>
      </c>
      <c r="Y16" s="14">
        <f t="shared" si="7"/>
        <v>0</v>
      </c>
      <c r="Z16" s="142">
        <v>65</v>
      </c>
      <c r="AA16" s="14">
        <v>65</v>
      </c>
      <c r="AB16" s="14">
        <f t="shared" si="8"/>
        <v>0</v>
      </c>
      <c r="AC16" s="142">
        <v>92</v>
      </c>
      <c r="AD16" s="14">
        <v>92</v>
      </c>
      <c r="AE16" s="14">
        <f t="shared" si="9"/>
        <v>0</v>
      </c>
      <c r="AF16" s="142">
        <v>55</v>
      </c>
      <c r="AG16" s="14">
        <v>55</v>
      </c>
      <c r="AH16" s="14">
        <f>+AF16-AG16</f>
        <v>0</v>
      </c>
      <c r="AI16" s="163"/>
    </row>
    <row r="17" spans="1:35" ht="15" hidden="1" customHeight="1" outlineLevel="1">
      <c r="A17" s="46" t="e">
        <f>INDEX(#REF!,MATCH(46581878,#REF!,0),Sy_nop)</f>
        <v>#REF!</v>
      </c>
      <c r="B17" s="142">
        <v>29</v>
      </c>
      <c r="C17" s="14">
        <v>29</v>
      </c>
      <c r="D17" s="14">
        <f t="shared" si="1"/>
        <v>0</v>
      </c>
      <c r="E17" s="142">
        <v>17</v>
      </c>
      <c r="F17" s="14">
        <v>17</v>
      </c>
      <c r="G17" s="14">
        <f t="shared" si="2"/>
        <v>0</v>
      </c>
      <c r="H17" s="142">
        <v>13</v>
      </c>
      <c r="I17" s="14">
        <v>13</v>
      </c>
      <c r="J17" s="14">
        <f t="shared" si="3"/>
        <v>0</v>
      </c>
      <c r="K17" s="142">
        <v>12</v>
      </c>
      <c r="L17" s="14">
        <v>12</v>
      </c>
      <c r="M17" s="14">
        <f t="shared" si="4"/>
        <v>0</v>
      </c>
      <c r="N17" s="142">
        <v>0</v>
      </c>
      <c r="O17" s="14">
        <v>0</v>
      </c>
      <c r="P17" s="14">
        <f t="shared" si="5"/>
        <v>0</v>
      </c>
      <c r="Q17" s="142">
        <v>16</v>
      </c>
      <c r="R17" s="14">
        <v>16</v>
      </c>
      <c r="S17" s="14">
        <f t="shared" si="0"/>
        <v>0</v>
      </c>
      <c r="T17" s="142">
        <v>0</v>
      </c>
      <c r="U17" s="14">
        <v>0</v>
      </c>
      <c r="V17" s="14">
        <f t="shared" si="6"/>
        <v>0</v>
      </c>
      <c r="W17" s="142">
        <v>16</v>
      </c>
      <c r="X17" s="14">
        <v>16</v>
      </c>
      <c r="Y17" s="14">
        <f t="shared" si="7"/>
        <v>0</v>
      </c>
      <c r="Z17" s="142">
        <v>0</v>
      </c>
      <c r="AA17" s="14">
        <v>0</v>
      </c>
      <c r="AB17" s="14">
        <f t="shared" si="8"/>
        <v>0</v>
      </c>
      <c r="AC17" s="142">
        <v>16</v>
      </c>
      <c r="AD17" s="14">
        <v>16</v>
      </c>
      <c r="AE17" s="14">
        <f t="shared" si="9"/>
        <v>0</v>
      </c>
      <c r="AF17" s="142">
        <v>16</v>
      </c>
      <c r="AG17" s="14">
        <v>16</v>
      </c>
      <c r="AH17" s="14">
        <f t="shared" si="10"/>
        <v>0</v>
      </c>
      <c r="AI17" s="163"/>
    </row>
    <row r="18" spans="1:35" ht="15" hidden="1" customHeight="1" outlineLevel="1">
      <c r="A18" s="46" t="e">
        <f>INDEX(#REF!,MATCH(-45470961,#REF!,0),Sy_nop)</f>
        <v>#REF!</v>
      </c>
      <c r="B18" s="142">
        <v>76</v>
      </c>
      <c r="C18" s="14">
        <v>76</v>
      </c>
      <c r="D18" s="14">
        <f t="shared" si="1"/>
        <v>0</v>
      </c>
      <c r="E18" s="142">
        <v>24</v>
      </c>
      <c r="F18" s="14">
        <v>24</v>
      </c>
      <c r="G18" s="14">
        <f t="shared" si="2"/>
        <v>0</v>
      </c>
      <c r="H18" s="142">
        <v>52</v>
      </c>
      <c r="I18" s="14">
        <v>52</v>
      </c>
      <c r="J18" s="14">
        <f t="shared" si="3"/>
        <v>0</v>
      </c>
      <c r="K18" s="142">
        <v>41</v>
      </c>
      <c r="L18" s="14">
        <v>41</v>
      </c>
      <c r="M18" s="14">
        <f t="shared" si="4"/>
        <v>0</v>
      </c>
      <c r="N18" s="142">
        <v>11</v>
      </c>
      <c r="O18" s="14">
        <v>11</v>
      </c>
      <c r="P18" s="14">
        <f t="shared" si="5"/>
        <v>0</v>
      </c>
      <c r="Q18" s="142">
        <v>33</v>
      </c>
      <c r="R18" s="14">
        <v>33</v>
      </c>
      <c r="S18" s="14">
        <f t="shared" si="0"/>
        <v>0</v>
      </c>
      <c r="T18" s="142">
        <v>7</v>
      </c>
      <c r="U18" s="14">
        <v>7</v>
      </c>
      <c r="V18" s="14">
        <f t="shared" si="6"/>
        <v>0</v>
      </c>
      <c r="W18" s="142">
        <v>26</v>
      </c>
      <c r="X18" s="14">
        <v>26</v>
      </c>
      <c r="Y18" s="14">
        <f t="shared" si="7"/>
        <v>0</v>
      </c>
      <c r="Z18" s="142">
        <v>11</v>
      </c>
      <c r="AA18" s="14">
        <v>11</v>
      </c>
      <c r="AB18" s="14">
        <f t="shared" si="8"/>
        <v>0</v>
      </c>
      <c r="AC18" s="142">
        <v>15</v>
      </c>
      <c r="AD18" s="14">
        <v>15</v>
      </c>
      <c r="AE18" s="14">
        <f t="shared" si="9"/>
        <v>0</v>
      </c>
      <c r="AF18" s="142">
        <v>7</v>
      </c>
      <c r="AG18" s="14">
        <v>7</v>
      </c>
      <c r="AH18" s="14">
        <f t="shared" si="10"/>
        <v>0</v>
      </c>
      <c r="AI18" s="163"/>
    </row>
    <row r="19" spans="1:35" ht="15" hidden="1" customHeight="1" outlineLevel="1">
      <c r="A19" s="46" t="e">
        <f>INDEX(#REF!,MATCH(108649816,#REF!,0),Sy_nop)</f>
        <v>#REF!</v>
      </c>
      <c r="B19" s="257">
        <v>-227</v>
      </c>
      <c r="C19" s="243">
        <v>-227</v>
      </c>
      <c r="D19" s="243">
        <f t="shared" si="1"/>
        <v>0</v>
      </c>
      <c r="E19" s="257">
        <v>-87</v>
      </c>
      <c r="F19" s="243">
        <v>-87</v>
      </c>
      <c r="G19" s="243">
        <f t="shared" si="2"/>
        <v>0</v>
      </c>
      <c r="H19" s="257">
        <v>-140</v>
      </c>
      <c r="I19" s="243">
        <v>-140</v>
      </c>
      <c r="J19" s="243">
        <f t="shared" si="3"/>
        <v>0</v>
      </c>
      <c r="K19" s="257">
        <v>-71</v>
      </c>
      <c r="L19" s="243">
        <v>-71</v>
      </c>
      <c r="M19" s="243">
        <f t="shared" si="4"/>
        <v>0</v>
      </c>
      <c r="N19" s="257">
        <v>-69</v>
      </c>
      <c r="O19" s="243">
        <v>-69</v>
      </c>
      <c r="P19" s="243">
        <f t="shared" si="5"/>
        <v>0</v>
      </c>
      <c r="Q19" s="257">
        <v>-362</v>
      </c>
      <c r="R19" s="243">
        <v>-362</v>
      </c>
      <c r="S19" s="243">
        <f t="shared" si="0"/>
        <v>0</v>
      </c>
      <c r="T19" s="257">
        <v>-88</v>
      </c>
      <c r="U19" s="243">
        <v>-88</v>
      </c>
      <c r="V19" s="243">
        <f t="shared" si="6"/>
        <v>0</v>
      </c>
      <c r="W19" s="257">
        <v>-275</v>
      </c>
      <c r="X19" s="243">
        <v>-275</v>
      </c>
      <c r="Y19" s="243">
        <f t="shared" si="7"/>
        <v>0</v>
      </c>
      <c r="Z19" s="257">
        <v>-102</v>
      </c>
      <c r="AA19" s="243">
        <v>-102</v>
      </c>
      <c r="AB19" s="243">
        <f t="shared" si="8"/>
        <v>0</v>
      </c>
      <c r="AC19" s="257">
        <v>-173</v>
      </c>
      <c r="AD19" s="243">
        <v>-173</v>
      </c>
      <c r="AE19" s="243">
        <f t="shared" si="9"/>
        <v>0</v>
      </c>
      <c r="AF19" s="257">
        <v>-78</v>
      </c>
      <c r="AG19" s="243">
        <v>-78</v>
      </c>
      <c r="AH19" s="243">
        <f t="shared" si="10"/>
        <v>0</v>
      </c>
      <c r="AI19" s="163"/>
    </row>
    <row r="20" spans="1:35" ht="15" hidden="1" customHeight="1" outlineLevel="1">
      <c r="A20" s="47" t="e">
        <f>INDEX(#REF!,MATCH(-123713124,#REF!,0),Sy_nop)</f>
        <v>#REF!</v>
      </c>
      <c r="B20" s="142">
        <v>-68</v>
      </c>
      <c r="C20" s="14">
        <v>-68</v>
      </c>
      <c r="D20" s="14">
        <f t="shared" si="1"/>
        <v>0</v>
      </c>
      <c r="E20" s="142">
        <v>-43</v>
      </c>
      <c r="F20" s="14">
        <v>-43</v>
      </c>
      <c r="G20" s="14">
        <f t="shared" si="2"/>
        <v>0</v>
      </c>
      <c r="H20" s="142">
        <v>-26</v>
      </c>
      <c r="I20" s="14">
        <v>-26</v>
      </c>
      <c r="J20" s="14">
        <f t="shared" si="3"/>
        <v>0</v>
      </c>
      <c r="K20" s="142">
        <v>-16</v>
      </c>
      <c r="L20" s="14">
        <v>-16</v>
      </c>
      <c r="M20" s="14">
        <f t="shared" si="4"/>
        <v>0</v>
      </c>
      <c r="N20" s="142">
        <v>-9</v>
      </c>
      <c r="O20" s="14">
        <v>-9</v>
      </c>
      <c r="P20" s="14">
        <f t="shared" si="5"/>
        <v>0</v>
      </c>
      <c r="Q20" s="142">
        <v>-44</v>
      </c>
      <c r="R20" s="14">
        <v>-44</v>
      </c>
      <c r="S20" s="14">
        <f t="shared" si="0"/>
        <v>0</v>
      </c>
      <c r="T20" s="142">
        <v>-12</v>
      </c>
      <c r="U20" s="14">
        <v>-12</v>
      </c>
      <c r="V20" s="14">
        <f t="shared" si="6"/>
        <v>0</v>
      </c>
      <c r="W20" s="142">
        <v>-32</v>
      </c>
      <c r="X20" s="14">
        <v>-32</v>
      </c>
      <c r="Y20" s="14">
        <f t="shared" si="7"/>
        <v>0</v>
      </c>
      <c r="Z20" s="142">
        <v>-6</v>
      </c>
      <c r="AA20" s="14">
        <v>-6</v>
      </c>
      <c r="AB20" s="14">
        <f t="shared" si="8"/>
        <v>0</v>
      </c>
      <c r="AC20" s="142">
        <v>-26</v>
      </c>
      <c r="AD20" s="14">
        <v>-26</v>
      </c>
      <c r="AE20" s="14">
        <f t="shared" si="9"/>
        <v>0</v>
      </c>
      <c r="AF20" s="142">
        <v>-14</v>
      </c>
      <c r="AG20" s="14">
        <v>-14</v>
      </c>
      <c r="AH20" s="14">
        <f t="shared" si="10"/>
        <v>0</v>
      </c>
      <c r="AI20" s="163"/>
    </row>
    <row r="21" spans="1:35" ht="15" customHeight="1" collapsed="1">
      <c r="A21" s="80" t="e">
        <f>INDEX(#REF!,MATCH(42078317,#REF!,0),Sy_nop)</f>
        <v>#REF!</v>
      </c>
      <c r="B21" s="238">
        <v>78</v>
      </c>
      <c r="C21" s="242">
        <v>78</v>
      </c>
      <c r="D21" s="242">
        <f t="shared" si="1"/>
        <v>0</v>
      </c>
      <c r="E21" s="238">
        <v>9</v>
      </c>
      <c r="F21" s="242">
        <v>9</v>
      </c>
      <c r="G21" s="242">
        <v>0</v>
      </c>
      <c r="H21" s="238">
        <v>69</v>
      </c>
      <c r="I21" s="242">
        <v>69</v>
      </c>
      <c r="J21" s="242">
        <f t="shared" si="3"/>
        <v>0</v>
      </c>
      <c r="K21" s="238">
        <v>92</v>
      </c>
      <c r="L21" s="242">
        <v>92</v>
      </c>
      <c r="M21" s="242">
        <f t="shared" si="4"/>
        <v>0</v>
      </c>
      <c r="N21" s="238">
        <v>-23</v>
      </c>
      <c r="O21" s="242">
        <v>-23</v>
      </c>
      <c r="P21" s="242">
        <f t="shared" si="5"/>
        <v>0</v>
      </c>
      <c r="Q21" s="238">
        <v>-177</v>
      </c>
      <c r="R21" s="242">
        <v>-177</v>
      </c>
      <c r="S21" s="242">
        <v>0</v>
      </c>
      <c r="T21" s="238">
        <v>-70</v>
      </c>
      <c r="U21" s="242">
        <v>-70</v>
      </c>
      <c r="V21" s="242">
        <f t="shared" si="6"/>
        <v>0</v>
      </c>
      <c r="W21" s="238">
        <v>-107</v>
      </c>
      <c r="X21" s="242">
        <v>-107</v>
      </c>
      <c r="Y21" s="242">
        <f t="shared" si="7"/>
        <v>0</v>
      </c>
      <c r="Z21" s="238">
        <v>-31</v>
      </c>
      <c r="AA21" s="242">
        <v>-31</v>
      </c>
      <c r="AB21" s="242">
        <f t="shared" si="8"/>
        <v>0</v>
      </c>
      <c r="AC21" s="238">
        <v>-76</v>
      </c>
      <c r="AD21" s="242">
        <v>-76</v>
      </c>
      <c r="AE21" s="242">
        <f t="shared" si="9"/>
        <v>0</v>
      </c>
      <c r="AF21" s="238">
        <v>-14</v>
      </c>
      <c r="AG21" s="242">
        <v>-14</v>
      </c>
      <c r="AH21" s="242">
        <f t="shared" si="10"/>
        <v>0</v>
      </c>
      <c r="AI21" s="163"/>
    </row>
    <row r="22" spans="1:35" ht="15" customHeight="1">
      <c r="A22" s="48" t="e">
        <f>INDEX(#REF!,MATCH(84606593,#REF!,0),Sy_nop)</f>
        <v>#REF!</v>
      </c>
      <c r="B22" s="238">
        <v>-199</v>
      </c>
      <c r="C22" s="242">
        <v>-215</v>
      </c>
      <c r="D22" s="242">
        <f t="shared" si="1"/>
        <v>16</v>
      </c>
      <c r="E22" s="238">
        <v>-719</v>
      </c>
      <c r="F22" s="242">
        <v>-735</v>
      </c>
      <c r="G22" s="242">
        <f t="shared" si="2"/>
        <v>16</v>
      </c>
      <c r="H22" s="238">
        <v>520</v>
      </c>
      <c r="I22" s="242">
        <v>520</v>
      </c>
      <c r="J22" s="242">
        <f t="shared" si="3"/>
        <v>0</v>
      </c>
      <c r="K22" s="238">
        <v>314</v>
      </c>
      <c r="L22" s="242">
        <v>314</v>
      </c>
      <c r="M22" s="242">
        <f t="shared" si="4"/>
        <v>0</v>
      </c>
      <c r="N22" s="238">
        <v>206</v>
      </c>
      <c r="O22" s="242">
        <v>206</v>
      </c>
      <c r="P22" s="242">
        <f t="shared" si="5"/>
        <v>0</v>
      </c>
      <c r="Q22" s="238">
        <v>792</v>
      </c>
      <c r="R22" s="242">
        <v>878</v>
      </c>
      <c r="S22" s="242">
        <f t="shared" si="0"/>
        <v>-86</v>
      </c>
      <c r="T22" s="238">
        <v>-602</v>
      </c>
      <c r="U22" s="242">
        <v>-493</v>
      </c>
      <c r="V22" s="242">
        <f t="shared" si="6"/>
        <v>-109</v>
      </c>
      <c r="W22" s="238">
        <v>1394</v>
      </c>
      <c r="X22" s="242">
        <v>1371</v>
      </c>
      <c r="Y22" s="242">
        <f t="shared" si="7"/>
        <v>23</v>
      </c>
      <c r="Z22" s="238">
        <v>540</v>
      </c>
      <c r="AA22" s="242">
        <v>539</v>
      </c>
      <c r="AB22" s="242">
        <f t="shared" si="8"/>
        <v>1</v>
      </c>
      <c r="AC22" s="238">
        <v>854</v>
      </c>
      <c r="AD22" s="242">
        <v>831</v>
      </c>
      <c r="AE22" s="242">
        <f t="shared" si="9"/>
        <v>23</v>
      </c>
      <c r="AF22" s="238">
        <v>242</v>
      </c>
      <c r="AG22" s="242">
        <v>219</v>
      </c>
      <c r="AH22" s="242">
        <f t="shared" si="10"/>
        <v>23</v>
      </c>
      <c r="AI22" s="163"/>
    </row>
    <row r="23" spans="1:35" ht="15" customHeight="1">
      <c r="A23" s="46" t="e">
        <f>INDEX(#REF!,MATCH(-4950706,#REF!,0),Sy_nop)</f>
        <v>#REF!</v>
      </c>
      <c r="B23" s="142">
        <v>251</v>
      </c>
      <c r="C23" s="14">
        <v>252</v>
      </c>
      <c r="D23" s="14">
        <f t="shared" si="1"/>
        <v>-1</v>
      </c>
      <c r="E23" s="142">
        <v>258</v>
      </c>
      <c r="F23" s="14">
        <v>259</v>
      </c>
      <c r="G23" s="14">
        <f t="shared" si="2"/>
        <v>-1</v>
      </c>
      <c r="H23" s="142">
        <v>-7</v>
      </c>
      <c r="I23" s="14">
        <v>-7</v>
      </c>
      <c r="J23" s="14">
        <f t="shared" si="3"/>
        <v>0</v>
      </c>
      <c r="K23" s="142">
        <v>-23</v>
      </c>
      <c r="L23" s="14">
        <v>-23</v>
      </c>
      <c r="M23" s="14">
        <f t="shared" si="4"/>
        <v>0</v>
      </c>
      <c r="N23" s="142">
        <v>16</v>
      </c>
      <c r="O23" s="14">
        <v>16</v>
      </c>
      <c r="P23" s="14">
        <f t="shared" si="5"/>
        <v>0</v>
      </c>
      <c r="Q23" s="142">
        <v>-265</v>
      </c>
      <c r="R23" s="14">
        <v>-264</v>
      </c>
      <c r="S23" s="14">
        <f t="shared" si="0"/>
        <v>-1</v>
      </c>
      <c r="T23" s="142">
        <v>154</v>
      </c>
      <c r="U23" s="14">
        <v>150</v>
      </c>
      <c r="V23" s="14">
        <f t="shared" si="6"/>
        <v>4</v>
      </c>
      <c r="W23" s="142">
        <v>-418</v>
      </c>
      <c r="X23" s="14">
        <v>-414</v>
      </c>
      <c r="Y23" s="14">
        <f t="shared" si="7"/>
        <v>-4</v>
      </c>
      <c r="Z23" s="142">
        <v>-195</v>
      </c>
      <c r="AA23" s="14">
        <v>-195</v>
      </c>
      <c r="AB23" s="14">
        <f t="shared" si="8"/>
        <v>0</v>
      </c>
      <c r="AC23" s="142">
        <v>-223</v>
      </c>
      <c r="AD23" s="14">
        <v>-219</v>
      </c>
      <c r="AE23" s="14">
        <f t="shared" si="9"/>
        <v>-4</v>
      </c>
      <c r="AF23" s="142">
        <v>-48</v>
      </c>
      <c r="AG23" s="14">
        <v>-44</v>
      </c>
      <c r="AH23" s="14">
        <f t="shared" si="10"/>
        <v>-4</v>
      </c>
      <c r="AI23" s="163"/>
    </row>
    <row r="24" spans="1:35" ht="15" customHeight="1">
      <c r="A24" s="71" t="e">
        <f>INDEX(#REF!,MATCH(-137716933,#REF!,0),Sy_nop)</f>
        <v>#REF!</v>
      </c>
      <c r="B24" s="258">
        <v>52</v>
      </c>
      <c r="C24" s="241">
        <v>36</v>
      </c>
      <c r="D24" s="241">
        <f t="shared" si="1"/>
        <v>16</v>
      </c>
      <c r="E24" s="258">
        <v>-461</v>
      </c>
      <c r="F24" s="241">
        <v>-477</v>
      </c>
      <c r="G24" s="241">
        <f t="shared" si="2"/>
        <v>16</v>
      </c>
      <c r="H24" s="258">
        <v>513</v>
      </c>
      <c r="I24" s="241">
        <v>513</v>
      </c>
      <c r="J24" s="241">
        <f t="shared" si="3"/>
        <v>0</v>
      </c>
      <c r="K24" s="258">
        <v>292</v>
      </c>
      <c r="L24" s="241">
        <v>292</v>
      </c>
      <c r="M24" s="241">
        <f t="shared" si="4"/>
        <v>0</v>
      </c>
      <c r="N24" s="258">
        <v>221</v>
      </c>
      <c r="O24" s="241">
        <v>221</v>
      </c>
      <c r="P24" s="241">
        <f t="shared" si="5"/>
        <v>0</v>
      </c>
      <c r="Q24" s="258">
        <v>527</v>
      </c>
      <c r="R24" s="241">
        <v>613</v>
      </c>
      <c r="S24" s="241">
        <f t="shared" si="0"/>
        <v>-86</v>
      </c>
      <c r="T24" s="258">
        <v>-448</v>
      </c>
      <c r="U24" s="241">
        <v>-344</v>
      </c>
      <c r="V24" s="241">
        <f t="shared" si="6"/>
        <v>-104</v>
      </c>
      <c r="W24" s="258">
        <v>975</v>
      </c>
      <c r="X24" s="241">
        <v>957</v>
      </c>
      <c r="Y24" s="241">
        <f t="shared" si="7"/>
        <v>18</v>
      </c>
      <c r="Z24" s="258">
        <v>345</v>
      </c>
      <c r="AA24" s="241">
        <v>344</v>
      </c>
      <c r="AB24" s="241">
        <f t="shared" si="8"/>
        <v>1</v>
      </c>
      <c r="AC24" s="258">
        <v>631</v>
      </c>
      <c r="AD24" s="241">
        <v>613</v>
      </c>
      <c r="AE24" s="241">
        <f t="shared" si="9"/>
        <v>18</v>
      </c>
      <c r="AF24" s="258">
        <v>193</v>
      </c>
      <c r="AG24" s="241">
        <v>175</v>
      </c>
      <c r="AH24" s="241">
        <f t="shared" si="10"/>
        <v>18</v>
      </c>
      <c r="AI24" s="163"/>
    </row>
    <row r="25" spans="1:35" ht="15" hidden="1" customHeight="1" outlineLevel="1" thickTop="1">
      <c r="A25" s="153"/>
      <c r="B25" s="259"/>
      <c r="C25" s="259"/>
      <c r="D25" s="259"/>
      <c r="E25" s="259"/>
      <c r="F25" s="259"/>
      <c r="G25" s="259"/>
      <c r="H25" s="259"/>
      <c r="I25" s="259"/>
      <c r="J25" s="259"/>
      <c r="K25" s="259"/>
      <c r="L25" s="259"/>
      <c r="M25" s="259"/>
      <c r="N25" s="259"/>
      <c r="O25" s="259"/>
      <c r="P25" s="259"/>
      <c r="Q25" s="259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59"/>
      <c r="AH25" s="259"/>
      <c r="AI25" s="163"/>
    </row>
    <row r="26" spans="1:35" s="154" customFormat="1" ht="15" customHeight="1" collapsed="1">
      <c r="A26" s="61" t="e">
        <f>INDEX(#REF!,MATCH(-48771823,#REF!,0),Sy_nop)</f>
        <v>#REF!</v>
      </c>
      <c r="B26" s="258">
        <v>-84</v>
      </c>
      <c r="C26" s="241">
        <v>-100</v>
      </c>
      <c r="D26" s="241">
        <f t="shared" ref="D26:D30" si="11">+B26-C26</f>
        <v>16</v>
      </c>
      <c r="E26" s="258">
        <v>-456</v>
      </c>
      <c r="F26" s="241">
        <v>-472</v>
      </c>
      <c r="G26" s="241">
        <f t="shared" ref="G26:G30" si="12">+E26-F26</f>
        <v>16</v>
      </c>
      <c r="H26" s="258">
        <v>372</v>
      </c>
      <c r="I26" s="241">
        <v>372</v>
      </c>
      <c r="J26" s="241">
        <f t="shared" ref="J26:J30" si="13">+H26-I26</f>
        <v>0</v>
      </c>
      <c r="K26" s="258">
        <v>209</v>
      </c>
      <c r="L26" s="241">
        <v>209</v>
      </c>
      <c r="M26" s="241">
        <f t="shared" ref="M26:M30" si="14">+K26-L26</f>
        <v>0</v>
      </c>
      <c r="N26" s="258">
        <v>163</v>
      </c>
      <c r="O26" s="241">
        <v>163</v>
      </c>
      <c r="P26" s="241">
        <f t="shared" ref="P26:P30" si="15">+N26-O26</f>
        <v>0</v>
      </c>
      <c r="Q26" s="258">
        <v>278</v>
      </c>
      <c r="R26" s="241">
        <v>357</v>
      </c>
      <c r="S26" s="241">
        <f>+Q26-R26</f>
        <v>-79</v>
      </c>
      <c r="T26" s="258">
        <v>-404</v>
      </c>
      <c r="U26" s="241">
        <v>-308</v>
      </c>
      <c r="V26" s="241">
        <f t="shared" ref="V26:V30" si="16">+T26-U26</f>
        <v>-96</v>
      </c>
      <c r="W26" s="258">
        <v>683</v>
      </c>
      <c r="X26" s="241">
        <v>665</v>
      </c>
      <c r="Y26" s="241">
        <f t="shared" ref="Y26:Y30" si="17">+W26-X26</f>
        <v>18</v>
      </c>
      <c r="Z26" s="258">
        <v>232</v>
      </c>
      <c r="AA26" s="241">
        <v>232</v>
      </c>
      <c r="AB26" s="241">
        <f t="shared" ref="AB26:AB30" si="18">+Z26-AA26</f>
        <v>0</v>
      </c>
      <c r="AC26" s="258">
        <v>450</v>
      </c>
      <c r="AD26" s="241">
        <v>433</v>
      </c>
      <c r="AE26" s="241">
        <f t="shared" ref="AE26:AE30" si="19">+AC26-AD26</f>
        <v>17</v>
      </c>
      <c r="AF26" s="258">
        <v>150</v>
      </c>
      <c r="AG26" s="241">
        <v>132</v>
      </c>
      <c r="AH26" s="241">
        <f t="shared" ref="AH26:AH30" si="20">+AF26-AG26</f>
        <v>18</v>
      </c>
      <c r="AI26" s="163"/>
    </row>
    <row r="27" spans="1:35" s="7" customFormat="1" hidden="1" outlineLevel="1">
      <c r="A27" s="31" t="e">
        <f>INDEX(#REF!,MATCH(184551925,#REF!,0),Sy_nop)</f>
        <v>#REF!</v>
      </c>
      <c r="B27" s="257">
        <v>28</v>
      </c>
      <c r="C27" s="243">
        <v>28</v>
      </c>
      <c r="D27" s="243">
        <f t="shared" si="11"/>
        <v>0</v>
      </c>
      <c r="E27" s="257">
        <v>9</v>
      </c>
      <c r="F27" s="243">
        <v>9</v>
      </c>
      <c r="G27" s="243">
        <f t="shared" si="12"/>
        <v>0</v>
      </c>
      <c r="H27" s="257">
        <v>19</v>
      </c>
      <c r="I27" s="243">
        <v>19</v>
      </c>
      <c r="J27" s="243">
        <f t="shared" si="13"/>
        <v>0</v>
      </c>
      <c r="K27" s="257">
        <v>9</v>
      </c>
      <c r="L27" s="243">
        <v>9</v>
      </c>
      <c r="M27" s="243">
        <f t="shared" si="14"/>
        <v>0</v>
      </c>
      <c r="N27" s="257">
        <v>9</v>
      </c>
      <c r="O27" s="243">
        <v>9</v>
      </c>
      <c r="P27" s="243">
        <f t="shared" si="15"/>
        <v>0</v>
      </c>
      <c r="Q27" s="257">
        <v>38</v>
      </c>
      <c r="R27" s="243">
        <v>38</v>
      </c>
      <c r="S27" s="243">
        <f>+Q27-R27</f>
        <v>0</v>
      </c>
      <c r="T27" s="257">
        <v>10</v>
      </c>
      <c r="U27" s="243">
        <v>10</v>
      </c>
      <c r="V27" s="243">
        <f t="shared" si="16"/>
        <v>0</v>
      </c>
      <c r="W27" s="257">
        <v>28</v>
      </c>
      <c r="X27" s="243">
        <v>28</v>
      </c>
      <c r="Y27" s="243">
        <f t="shared" si="17"/>
        <v>0</v>
      </c>
      <c r="Z27" s="257">
        <v>10</v>
      </c>
      <c r="AA27" s="243">
        <v>10</v>
      </c>
      <c r="AB27" s="243">
        <f t="shared" si="18"/>
        <v>0</v>
      </c>
      <c r="AC27" s="257">
        <v>19</v>
      </c>
      <c r="AD27" s="243">
        <v>19</v>
      </c>
      <c r="AE27" s="243">
        <f t="shared" si="19"/>
        <v>0</v>
      </c>
      <c r="AF27" s="257">
        <v>9</v>
      </c>
      <c r="AG27" s="243">
        <v>9</v>
      </c>
      <c r="AH27" s="243">
        <f t="shared" si="20"/>
        <v>0</v>
      </c>
      <c r="AI27" s="163"/>
    </row>
    <row r="28" spans="1:35" s="7" customFormat="1" collapsed="1">
      <c r="A28" s="31" t="e">
        <f>INDEX(#REF!,MATCH(-123490045,#REF!,0),Sy_nop)</f>
        <v>#REF!</v>
      </c>
      <c r="B28" s="142">
        <v>108</v>
      </c>
      <c r="C28" s="14">
        <v>108</v>
      </c>
      <c r="D28" s="14">
        <f t="shared" si="11"/>
        <v>0</v>
      </c>
      <c r="E28" s="142">
        <v>-14</v>
      </c>
      <c r="F28" s="14">
        <v>-14</v>
      </c>
      <c r="G28" s="14">
        <f t="shared" si="12"/>
        <v>0</v>
      </c>
      <c r="H28" s="142">
        <v>122</v>
      </c>
      <c r="I28" s="14">
        <v>122</v>
      </c>
      <c r="J28" s="14">
        <f t="shared" si="13"/>
        <v>0</v>
      </c>
      <c r="K28" s="142">
        <v>73</v>
      </c>
      <c r="L28" s="14">
        <v>73</v>
      </c>
      <c r="M28" s="14">
        <f t="shared" si="14"/>
        <v>0</v>
      </c>
      <c r="N28" s="142">
        <v>49</v>
      </c>
      <c r="O28" s="14">
        <v>49</v>
      </c>
      <c r="P28" s="14">
        <f t="shared" si="15"/>
        <v>0</v>
      </c>
      <c r="Q28" s="142">
        <v>211</v>
      </c>
      <c r="R28" s="14">
        <v>219</v>
      </c>
      <c r="S28" s="14">
        <f>+Q28-R28</f>
        <v>-8</v>
      </c>
      <c r="T28" s="142">
        <v>-53</v>
      </c>
      <c r="U28" s="14">
        <v>-45</v>
      </c>
      <c r="V28" s="14">
        <f t="shared" si="16"/>
        <v>-8</v>
      </c>
      <c r="W28" s="142">
        <v>264</v>
      </c>
      <c r="X28" s="14">
        <v>264</v>
      </c>
      <c r="Y28" s="14">
        <f t="shared" si="17"/>
        <v>0</v>
      </c>
      <c r="Z28" s="142">
        <v>102</v>
      </c>
      <c r="AA28" s="14">
        <v>102</v>
      </c>
      <c r="AB28" s="14">
        <f t="shared" si="18"/>
        <v>0</v>
      </c>
      <c r="AC28" s="142">
        <v>162</v>
      </c>
      <c r="AD28" s="14">
        <v>161</v>
      </c>
      <c r="AE28" s="14">
        <f t="shared" si="19"/>
        <v>1</v>
      </c>
      <c r="AF28" s="142">
        <v>34</v>
      </c>
      <c r="AG28" s="14">
        <v>33</v>
      </c>
      <c r="AH28" s="14">
        <f t="shared" si="20"/>
        <v>1</v>
      </c>
      <c r="AI28" s="163"/>
    </row>
    <row r="29" spans="1:35" s="7" customFormat="1">
      <c r="A29" s="48" t="e">
        <f>INDEX(#REF!,MATCH(67913854,#REF!,0),Sy_nop)</f>
        <v>#REF!</v>
      </c>
      <c r="B29" s="238">
        <v>0</v>
      </c>
      <c r="C29" s="242">
        <v>0</v>
      </c>
      <c r="D29" s="242">
        <f t="shared" si="11"/>
        <v>0</v>
      </c>
      <c r="E29" s="238">
        <v>-1</v>
      </c>
      <c r="F29" s="242">
        <v>-1</v>
      </c>
      <c r="G29" s="242">
        <f t="shared" si="12"/>
        <v>0</v>
      </c>
      <c r="H29" s="238">
        <v>1</v>
      </c>
      <c r="I29" s="242">
        <v>1</v>
      </c>
      <c r="J29" s="242">
        <f t="shared" si="13"/>
        <v>0</v>
      </c>
      <c r="K29" s="238">
        <v>1</v>
      </c>
      <c r="L29" s="242">
        <v>1</v>
      </c>
      <c r="M29" s="242">
        <f t="shared" si="14"/>
        <v>0</v>
      </c>
      <c r="N29" s="238">
        <v>1</v>
      </c>
      <c r="O29" s="242">
        <v>1</v>
      </c>
      <c r="P29" s="242">
        <f t="shared" si="15"/>
        <v>0</v>
      </c>
      <c r="Q29" s="238">
        <v>1</v>
      </c>
      <c r="R29" s="242">
        <v>1</v>
      </c>
      <c r="S29" s="242">
        <f>+Q29-R29</f>
        <v>0</v>
      </c>
      <c r="T29" s="238">
        <v>-1</v>
      </c>
      <c r="U29" s="242">
        <v>-1</v>
      </c>
      <c r="V29" s="242">
        <f t="shared" si="16"/>
        <v>0</v>
      </c>
      <c r="W29" s="238">
        <v>2</v>
      </c>
      <c r="X29" s="242">
        <v>2</v>
      </c>
      <c r="Y29" s="242">
        <f t="shared" si="17"/>
        <v>0</v>
      </c>
      <c r="Z29" s="238">
        <v>1</v>
      </c>
      <c r="AA29" s="242">
        <v>1</v>
      </c>
      <c r="AB29" s="242">
        <f t="shared" si="18"/>
        <v>0</v>
      </c>
      <c r="AC29" s="238">
        <v>1</v>
      </c>
      <c r="AD29" s="242">
        <v>1</v>
      </c>
      <c r="AE29" s="242">
        <f t="shared" si="19"/>
        <v>0</v>
      </c>
      <c r="AF29" s="238">
        <v>0</v>
      </c>
      <c r="AG29" s="242">
        <v>0</v>
      </c>
      <c r="AH29" s="242">
        <f t="shared" si="20"/>
        <v>0</v>
      </c>
      <c r="AI29" s="163"/>
    </row>
    <row r="30" spans="1:35" s="7" customFormat="1">
      <c r="A30" s="47" t="e">
        <f>INDEX(#REF!,MATCH(166945139,#REF!,0),Sy_nop)</f>
        <v>#REF!</v>
      </c>
      <c r="B30" s="257">
        <v>0</v>
      </c>
      <c r="C30" s="243">
        <v>0</v>
      </c>
      <c r="D30" s="243">
        <f t="shared" si="11"/>
        <v>0</v>
      </c>
      <c r="E30" s="257">
        <v>-1</v>
      </c>
      <c r="F30" s="243">
        <v>-1</v>
      </c>
      <c r="G30" s="243">
        <f t="shared" si="12"/>
        <v>0</v>
      </c>
      <c r="H30" s="257">
        <v>1</v>
      </c>
      <c r="I30" s="243">
        <v>1</v>
      </c>
      <c r="J30" s="243">
        <f t="shared" si="13"/>
        <v>0</v>
      </c>
      <c r="K30" s="257">
        <v>1</v>
      </c>
      <c r="L30" s="243">
        <v>1</v>
      </c>
      <c r="M30" s="243">
        <f t="shared" si="14"/>
        <v>0</v>
      </c>
      <c r="N30" s="257">
        <v>0</v>
      </c>
      <c r="O30" s="243">
        <v>0</v>
      </c>
      <c r="P30" s="243">
        <f t="shared" si="15"/>
        <v>0</v>
      </c>
      <c r="Q30" s="257">
        <v>1</v>
      </c>
      <c r="R30" s="243">
        <v>1</v>
      </c>
      <c r="S30" s="243">
        <f>+Q30-R30</f>
        <v>0</v>
      </c>
      <c r="T30" s="257">
        <v>-1</v>
      </c>
      <c r="U30" s="243">
        <v>-1</v>
      </c>
      <c r="V30" s="243">
        <f t="shared" si="16"/>
        <v>0</v>
      </c>
      <c r="W30" s="257">
        <v>2</v>
      </c>
      <c r="X30" s="243">
        <v>2</v>
      </c>
      <c r="Y30" s="243">
        <f t="shared" si="17"/>
        <v>0</v>
      </c>
      <c r="Z30" s="257">
        <v>1</v>
      </c>
      <c r="AA30" s="243">
        <v>1</v>
      </c>
      <c r="AB30" s="243">
        <f t="shared" si="18"/>
        <v>0</v>
      </c>
      <c r="AC30" s="257">
        <v>1</v>
      </c>
      <c r="AD30" s="243">
        <v>1</v>
      </c>
      <c r="AE30" s="243">
        <f t="shared" si="19"/>
        <v>0</v>
      </c>
      <c r="AF30" s="257">
        <v>0</v>
      </c>
      <c r="AG30" s="243">
        <v>0</v>
      </c>
      <c r="AH30" s="243">
        <f t="shared" si="20"/>
        <v>0</v>
      </c>
      <c r="AI30" s="163"/>
    </row>
    <row r="31" spans="1:35" s="7" customFormat="1"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T55"/>
  <sheetViews>
    <sheetView zoomScale="85" zoomScaleNormal="85" workbookViewId="0">
      <selection activeCell="D35" sqref="D35"/>
    </sheetView>
  </sheetViews>
  <sheetFormatPr defaultColWidth="11.42578125" defaultRowHeight="15" outlineLevelRow="1" outlineLevelCol="1"/>
  <cols>
    <col min="1" max="1" width="52.140625" style="6" customWidth="1"/>
    <col min="2" max="7" width="11.5703125" style="6" hidden="1" customWidth="1" outlineLevel="1"/>
    <col min="8" max="8" width="11.5703125" style="6" customWidth="1" collapsed="1"/>
    <col min="9" max="13" width="11.5703125" style="6" customWidth="1"/>
    <col min="14" max="19" width="11.5703125" style="6" hidden="1" customWidth="1" outlineLevel="1"/>
    <col min="20" max="20" width="11.42578125" style="6" customWidth="1" collapsed="1"/>
    <col min="21" max="16384" width="11.42578125" style="6"/>
  </cols>
  <sheetData>
    <row r="1" spans="1:20" ht="15" customHeight="1">
      <c r="A1" s="1" t="e">
        <f>INDEX(#REF!,MATCH(153240297,#REF!,0),Sy_nop)</f>
        <v>#REF!</v>
      </c>
    </row>
    <row r="2" spans="1:20" ht="15" customHeight="1">
      <c r="A2" s="40" t="e">
        <f>INDEX(#REF!,MATCH(196129093,#REF!,0),Sy_nop)</f>
        <v>#REF!</v>
      </c>
    </row>
    <row r="3" spans="1:20" ht="30" customHeight="1">
      <c r="B3" s="160" t="e">
        <f>INDEX(#REF!,MATCH(-174564184,#REF!,0),Sy_nop)</f>
        <v>#REF!</v>
      </c>
      <c r="C3" s="155" t="e">
        <f>INDEX(#REF!,MATCH(-187872572,#REF!,0),Sy_nop)</f>
        <v>#REF!</v>
      </c>
      <c r="D3" s="156" t="s">
        <v>275</v>
      </c>
      <c r="E3" s="160" t="e">
        <f>INDEX(#REF!,MATCH(-174564184,#REF!,0),Sy_nop)</f>
        <v>#REF!</v>
      </c>
      <c r="F3" s="155" t="e">
        <f>INDEX(#REF!,MATCH(-187872572,#REF!,0),Sy_nop)</f>
        <v>#REF!</v>
      </c>
      <c r="G3" s="156" t="s">
        <v>275</v>
      </c>
      <c r="H3" s="160" t="e">
        <f>INDEX(#REF!,MATCH(-174564184,#REF!,0),Sy_nop)</f>
        <v>#REF!</v>
      </c>
      <c r="I3" s="155" t="e">
        <f>INDEX(#REF!,MATCH(-187872572,#REF!,0),Sy_nop)</f>
        <v>#REF!</v>
      </c>
      <c r="J3" s="156" t="s">
        <v>275</v>
      </c>
      <c r="K3" s="160" t="e">
        <f>INDEX(#REF!,MATCH(-174564184,#REF!,0),Sy_nop)</f>
        <v>#REF!</v>
      </c>
      <c r="L3" s="155" t="e">
        <f>INDEX(#REF!,MATCH(-187872572,#REF!,0),Sy_nop)</f>
        <v>#REF!</v>
      </c>
      <c r="M3" s="156" t="s">
        <v>275</v>
      </c>
      <c r="N3" s="160" t="e">
        <f>INDEX(#REF!,MATCH(-174564184,#REF!,0),Sy_nop)</f>
        <v>#REF!</v>
      </c>
      <c r="O3" s="155" t="e">
        <f>INDEX(#REF!,MATCH(-187872572,#REF!,0),Sy_nop)</f>
        <v>#REF!</v>
      </c>
      <c r="P3" s="156" t="s">
        <v>275</v>
      </c>
      <c r="Q3" s="160" t="e">
        <f>INDEX(#REF!,MATCH(-174564184,#REF!,0),Sy_nop)</f>
        <v>#REF!</v>
      </c>
      <c r="R3" s="155" t="e">
        <f>INDEX(#REF!,MATCH(-187872572,#REF!,0),Sy_nop)</f>
        <v>#REF!</v>
      </c>
      <c r="S3" s="156" t="s">
        <v>275</v>
      </c>
      <c r="T3" s="157"/>
    </row>
    <row r="4" spans="1:20" ht="30" customHeight="1" thickBot="1">
      <c r="A4" s="49" t="e">
        <f>INDEX(#REF!,MATCH(-203241705,#REF!,0),Sy_nop)</f>
        <v>#REF!</v>
      </c>
      <c r="B4" s="161" t="e">
        <f>INDEX(#REF!,MATCH(129456086,#REF!,0),Sy_nop)</f>
        <v>#REF!</v>
      </c>
      <c r="C4" s="158" t="e">
        <f>INDEX(#REF!,MATCH(129456086,#REF!,0),Sy_nop)</f>
        <v>#REF!</v>
      </c>
      <c r="D4" s="158" t="e">
        <f>INDEX(#REF!,MATCH(29883458,#REF!,0),Sy_nop)</f>
        <v>#REF!</v>
      </c>
      <c r="E4" s="161" t="e">
        <f>INDEX(#REF!,MATCH(-164220249,#REF!,0),Sy_nop)</f>
        <v>#REF!</v>
      </c>
      <c r="F4" s="158" t="e">
        <f>INDEX(#REF!,MATCH(-164220249,#REF!,0),Sy_nop)</f>
        <v>#REF!</v>
      </c>
      <c r="G4" s="158" t="e">
        <f>INDEX(#REF!,MATCH(29883458,#REF!,0),Sy_nop)</f>
        <v>#REF!</v>
      </c>
      <c r="H4" s="161" t="e">
        <f>INDEX(#REF!,MATCH(-45561718,#REF!,0),Sy_nop)</f>
        <v>#REF!</v>
      </c>
      <c r="I4" s="158" t="e">
        <f>INDEX(#REF!,MATCH(-45561718,#REF!,0),Sy_nop)</f>
        <v>#REF!</v>
      </c>
      <c r="J4" s="158" t="e">
        <f>INDEX(#REF!,MATCH(29883458,#REF!,0),Sy_nop)</f>
        <v>#REF!</v>
      </c>
      <c r="K4" s="161" t="e">
        <f>INDEX(#REF!,MATCH(-15753802,#REF!,0),Sy_nop)</f>
        <v>#REF!</v>
      </c>
      <c r="L4" s="158" t="e">
        <f>INDEX(#REF!,MATCH(-15753802,#REF!,0),Sy_nop)</f>
        <v>#REF!</v>
      </c>
      <c r="M4" s="158" t="e">
        <f>INDEX(#REF!,MATCH(29883458,#REF!,0),Sy_nop)</f>
        <v>#REF!</v>
      </c>
      <c r="N4" s="161" t="e">
        <f>INDEX(#REF!,MATCH(-168752117,#REF!,0),Sy_nop)</f>
        <v>#REF!</v>
      </c>
      <c r="O4" s="158" t="e">
        <f>INDEX(#REF!,MATCH(-168752117,#REF!,0),Sy_nop)</f>
        <v>#REF!</v>
      </c>
      <c r="P4" s="158" t="e">
        <f>INDEX(#REF!,MATCH(29883458,#REF!,0),Sy_nop)</f>
        <v>#REF!</v>
      </c>
      <c r="Q4" s="161" t="e">
        <f>INDEX(#REF!,MATCH(212735733,#REF!,0),Sy_nop)</f>
        <v>#REF!</v>
      </c>
      <c r="R4" s="158" t="e">
        <f>INDEX(#REF!,MATCH(212735733,#REF!,0),Sy_nop)</f>
        <v>#REF!</v>
      </c>
      <c r="S4" s="158" t="e">
        <f>INDEX(#REF!,MATCH(29883458,#REF!,0),Sy_nop)</f>
        <v>#REF!</v>
      </c>
    </row>
    <row r="5" spans="1:20" ht="15" customHeight="1" thickTop="1">
      <c r="A5" s="52" t="e">
        <f>INDEX(#REF!,MATCH(-132994233,#REF!,0),Sy_nop)</f>
        <v>#REF!</v>
      </c>
      <c r="B5" s="162"/>
      <c r="C5" s="159"/>
      <c r="D5" s="159"/>
      <c r="E5" s="162"/>
      <c r="F5" s="159"/>
      <c r="G5" s="159"/>
      <c r="H5" s="162"/>
      <c r="I5" s="159"/>
      <c r="J5" s="159"/>
      <c r="K5" s="162"/>
      <c r="L5" s="159"/>
      <c r="M5" s="159"/>
      <c r="N5" s="162"/>
      <c r="O5" s="159"/>
      <c r="P5" s="159"/>
      <c r="Q5" s="162"/>
      <c r="R5" s="159"/>
      <c r="S5" s="159"/>
    </row>
    <row r="6" spans="1:20" ht="15" customHeight="1">
      <c r="A6" s="65" t="e">
        <f>INDEX(#REF!,MATCH(149223256,#REF!,0),Sy_nop)</f>
        <v>#REF!</v>
      </c>
      <c r="B6" s="146">
        <v>3225</v>
      </c>
      <c r="C6" s="249">
        <v>3288</v>
      </c>
      <c r="D6" s="249">
        <v>-62</v>
      </c>
      <c r="E6" s="146">
        <v>3634</v>
      </c>
      <c r="F6" s="249">
        <v>3705</v>
      </c>
      <c r="G6" s="249">
        <v>-70</v>
      </c>
      <c r="H6" s="146">
        <v>3735</v>
      </c>
      <c r="I6" s="249">
        <v>3810</v>
      </c>
      <c r="J6" s="249">
        <v>-75</v>
      </c>
      <c r="K6" s="146">
        <v>3453</v>
      </c>
      <c r="L6" s="249">
        <v>3528</v>
      </c>
      <c r="M6" s="249">
        <v>-74</v>
      </c>
      <c r="N6" s="146">
        <v>3809</v>
      </c>
      <c r="O6" s="249">
        <v>3809</v>
      </c>
      <c r="P6" s="249">
        <v>0</v>
      </c>
      <c r="Q6" s="146">
        <v>3538</v>
      </c>
      <c r="R6" s="249">
        <v>3538</v>
      </c>
      <c r="S6" s="249">
        <v>0</v>
      </c>
    </row>
    <row r="7" spans="1:20" ht="15" customHeight="1">
      <c r="A7" s="69" t="e">
        <f>INDEX(#REF!,MATCH(147514431,#REF!,0),Sy_nop)</f>
        <v>#REF!</v>
      </c>
      <c r="B7" s="142">
        <v>17955</v>
      </c>
      <c r="C7" s="12">
        <v>17954</v>
      </c>
      <c r="D7" s="12">
        <v>0</v>
      </c>
      <c r="E7" s="142">
        <v>18701</v>
      </c>
      <c r="F7" s="12">
        <v>18715</v>
      </c>
      <c r="G7" s="12">
        <v>-14</v>
      </c>
      <c r="H7" s="142">
        <v>19188</v>
      </c>
      <c r="I7" s="12">
        <v>19200</v>
      </c>
      <c r="J7" s="12">
        <v>-12</v>
      </c>
      <c r="K7" s="142">
        <v>18488</v>
      </c>
      <c r="L7" s="12">
        <v>18500</v>
      </c>
      <c r="M7" s="12">
        <v>-12</v>
      </c>
      <c r="N7" s="142">
        <v>18541</v>
      </c>
      <c r="O7" s="12">
        <v>18518</v>
      </c>
      <c r="P7" s="12">
        <v>23</v>
      </c>
      <c r="Q7" s="142">
        <v>17870</v>
      </c>
      <c r="R7" s="12">
        <v>17846</v>
      </c>
      <c r="S7" s="12">
        <v>23</v>
      </c>
    </row>
    <row r="8" spans="1:20" ht="15" hidden="1" customHeight="1" outlineLevel="1">
      <c r="A8" s="76" t="e">
        <f>INDEX(#REF!,MATCH(-129764394,#REF!,0),Sy_nop)</f>
        <v>#REF!</v>
      </c>
      <c r="B8" s="142">
        <v>2436</v>
      </c>
      <c r="C8" s="12">
        <v>2436</v>
      </c>
      <c r="D8" s="12">
        <v>0</v>
      </c>
      <c r="E8" s="142">
        <v>2354</v>
      </c>
      <c r="F8" s="12">
        <v>2354</v>
      </c>
      <c r="G8" s="12">
        <v>0</v>
      </c>
      <c r="H8" s="142">
        <v>2282</v>
      </c>
      <c r="I8" s="12">
        <v>2282</v>
      </c>
      <c r="J8" s="12">
        <v>0</v>
      </c>
      <c r="K8" s="142">
        <v>2131</v>
      </c>
      <c r="L8" s="12">
        <v>2131</v>
      </c>
      <c r="M8" s="12">
        <v>0</v>
      </c>
      <c r="N8" s="142">
        <v>2042</v>
      </c>
      <c r="O8" s="12">
        <v>2042</v>
      </c>
      <c r="P8" s="12">
        <v>0</v>
      </c>
      <c r="Q8" s="142">
        <v>1912</v>
      </c>
      <c r="R8" s="12">
        <v>1912</v>
      </c>
      <c r="S8" s="12">
        <v>0</v>
      </c>
    </row>
    <row r="9" spans="1:20" ht="15" hidden="1" customHeight="1" outlineLevel="1">
      <c r="A9" s="69" t="e">
        <f>INDEX(#REF!,MATCH(-172428345,#REF!,0),Sy_nop)</f>
        <v>#REF!</v>
      </c>
      <c r="B9" s="142">
        <v>797</v>
      </c>
      <c r="C9" s="12">
        <v>797</v>
      </c>
      <c r="D9" s="12">
        <v>0</v>
      </c>
      <c r="E9" s="142">
        <v>746</v>
      </c>
      <c r="F9" s="12">
        <v>746</v>
      </c>
      <c r="G9" s="12">
        <v>0</v>
      </c>
      <c r="H9" s="142">
        <v>827</v>
      </c>
      <c r="I9" s="12">
        <v>827</v>
      </c>
      <c r="J9" s="12">
        <v>0</v>
      </c>
      <c r="K9" s="142">
        <v>816</v>
      </c>
      <c r="L9" s="12">
        <v>816</v>
      </c>
      <c r="M9" s="12">
        <v>0</v>
      </c>
      <c r="N9" s="142">
        <v>703</v>
      </c>
      <c r="O9" s="12">
        <v>703</v>
      </c>
      <c r="P9" s="12">
        <v>0</v>
      </c>
      <c r="Q9" s="142">
        <v>792</v>
      </c>
      <c r="R9" s="12">
        <v>792</v>
      </c>
      <c r="S9" s="12">
        <v>0</v>
      </c>
    </row>
    <row r="10" spans="1:20" ht="15" hidden="1" customHeight="1" outlineLevel="1">
      <c r="A10" s="69" t="e">
        <f>INDEX(#REF!,MATCH(170691367,#REF!,0),Sy_nop)</f>
        <v>#REF!</v>
      </c>
      <c r="B10" s="142">
        <v>160</v>
      </c>
      <c r="C10" s="12">
        <v>160</v>
      </c>
      <c r="D10" s="12">
        <v>0</v>
      </c>
      <c r="E10" s="142">
        <v>155</v>
      </c>
      <c r="F10" s="12">
        <v>155</v>
      </c>
      <c r="G10" s="12">
        <v>0</v>
      </c>
      <c r="H10" s="142">
        <v>128</v>
      </c>
      <c r="I10" s="12">
        <v>128</v>
      </c>
      <c r="J10" s="12">
        <v>0</v>
      </c>
      <c r="K10" s="142">
        <v>117</v>
      </c>
      <c r="L10" s="12">
        <v>117</v>
      </c>
      <c r="M10" s="12">
        <v>0</v>
      </c>
      <c r="N10" s="142">
        <v>107</v>
      </c>
      <c r="O10" s="12">
        <v>107</v>
      </c>
      <c r="P10" s="12">
        <v>0</v>
      </c>
      <c r="Q10" s="142">
        <v>108</v>
      </c>
      <c r="R10" s="12">
        <v>108</v>
      </c>
      <c r="S10" s="12">
        <v>0</v>
      </c>
    </row>
    <row r="11" spans="1:20" ht="15" customHeight="1" collapsed="1">
      <c r="A11" s="69" t="e">
        <f>INDEX(#REF!,MATCH(187028372,#REF!,0),Sy_nop)</f>
        <v>#REF!</v>
      </c>
      <c r="B11" s="142">
        <v>524</v>
      </c>
      <c r="C11" s="12">
        <v>521</v>
      </c>
      <c r="D11" s="12">
        <v>3</v>
      </c>
      <c r="E11" s="142">
        <v>466</v>
      </c>
      <c r="F11" s="12">
        <v>462</v>
      </c>
      <c r="G11" s="12">
        <v>3</v>
      </c>
      <c r="H11" s="142">
        <v>457</v>
      </c>
      <c r="I11" s="12">
        <v>454</v>
      </c>
      <c r="J11" s="12">
        <v>4</v>
      </c>
      <c r="K11" s="142">
        <v>459</v>
      </c>
      <c r="L11" s="12">
        <v>456</v>
      </c>
      <c r="M11" s="12">
        <v>3</v>
      </c>
      <c r="N11" s="142">
        <v>368</v>
      </c>
      <c r="O11" s="12">
        <v>368</v>
      </c>
      <c r="P11" s="12">
        <v>0</v>
      </c>
      <c r="Q11" s="142">
        <v>404</v>
      </c>
      <c r="R11" s="12">
        <v>405</v>
      </c>
      <c r="S11" s="12">
        <v>-1</v>
      </c>
    </row>
    <row r="12" spans="1:20" ht="15" customHeight="1">
      <c r="A12" s="73" t="e">
        <f>INDEX(#REF!,MATCH(-2725492,#REF!,0),Sy_nop)</f>
        <v>#REF!</v>
      </c>
      <c r="B12" s="238">
        <v>25097</v>
      </c>
      <c r="C12" s="260">
        <v>25156</v>
      </c>
      <c r="D12" s="260">
        <v>-59</v>
      </c>
      <c r="E12" s="238">
        <v>26057</v>
      </c>
      <c r="F12" s="260">
        <v>26137</v>
      </c>
      <c r="G12" s="260">
        <v>-81</v>
      </c>
      <c r="H12" s="238">
        <v>26616</v>
      </c>
      <c r="I12" s="260">
        <v>26700</v>
      </c>
      <c r="J12" s="260">
        <v>-84</v>
      </c>
      <c r="K12" s="238">
        <v>25464</v>
      </c>
      <c r="L12" s="260">
        <v>25548</v>
      </c>
      <c r="M12" s="260">
        <v>-83</v>
      </c>
      <c r="N12" s="238">
        <v>25570</v>
      </c>
      <c r="O12" s="260">
        <v>25547</v>
      </c>
      <c r="P12" s="260">
        <v>23</v>
      </c>
      <c r="Q12" s="238">
        <v>24625</v>
      </c>
      <c r="R12" s="260">
        <v>24602</v>
      </c>
      <c r="S12" s="260">
        <v>23</v>
      </c>
    </row>
    <row r="13" spans="1:20" ht="15" hidden="1" customHeight="1" outlineLevel="1">
      <c r="A13" s="4"/>
      <c r="B13" s="142"/>
      <c r="C13" s="12"/>
      <c r="D13" s="12"/>
      <c r="E13" s="142"/>
      <c r="F13" s="12"/>
      <c r="G13" s="12"/>
      <c r="H13" s="142"/>
      <c r="I13" s="12"/>
      <c r="J13" s="12"/>
      <c r="K13" s="142"/>
      <c r="L13" s="12"/>
      <c r="M13" s="12"/>
      <c r="N13" s="142"/>
      <c r="O13" s="12"/>
      <c r="P13" s="12"/>
      <c r="Q13" s="142"/>
      <c r="R13" s="12"/>
      <c r="S13" s="12"/>
    </row>
    <row r="14" spans="1:20" ht="15" hidden="1" customHeight="1" outlineLevel="1">
      <c r="A14" s="27" t="e">
        <f>INDEX(#REF!,MATCH(-128027416,#REF!,0),Sy_nop)</f>
        <v>#REF!</v>
      </c>
      <c r="B14" s="142">
        <v>2019</v>
      </c>
      <c r="C14" s="12">
        <v>2019</v>
      </c>
      <c r="D14" s="12">
        <v>0</v>
      </c>
      <c r="E14" s="142">
        <v>2274</v>
      </c>
      <c r="F14" s="12">
        <v>2274</v>
      </c>
      <c r="G14" s="12">
        <v>0</v>
      </c>
      <c r="H14" s="142">
        <v>2149</v>
      </c>
      <c r="I14" s="12">
        <v>2149</v>
      </c>
      <c r="J14" s="12">
        <v>0</v>
      </c>
      <c r="K14" s="142">
        <v>2231</v>
      </c>
      <c r="L14" s="12">
        <v>2231</v>
      </c>
      <c r="M14" s="12">
        <v>0</v>
      </c>
      <c r="N14" s="142">
        <v>2485</v>
      </c>
      <c r="O14" s="12">
        <v>2485</v>
      </c>
      <c r="P14" s="12">
        <v>0</v>
      </c>
      <c r="Q14" s="142">
        <v>2669</v>
      </c>
      <c r="R14" s="12">
        <v>2669</v>
      </c>
      <c r="S14" s="12">
        <v>0</v>
      </c>
    </row>
    <row r="15" spans="1:20" ht="15" hidden="1" customHeight="1" outlineLevel="1">
      <c r="A15" s="27" t="e">
        <f>INDEX(#REF!,MATCH(125938338,#REF!,0),Sy_nop)</f>
        <v>#REF!</v>
      </c>
      <c r="B15" s="142">
        <v>3052</v>
      </c>
      <c r="C15" s="12">
        <v>3052</v>
      </c>
      <c r="D15" s="12">
        <v>0</v>
      </c>
      <c r="E15" s="142">
        <v>2885</v>
      </c>
      <c r="F15" s="12">
        <v>2885</v>
      </c>
      <c r="G15" s="12">
        <v>0</v>
      </c>
      <c r="H15" s="142">
        <v>3254</v>
      </c>
      <c r="I15" s="12">
        <v>3254</v>
      </c>
      <c r="J15" s="12">
        <v>0</v>
      </c>
      <c r="K15" s="142">
        <v>3042</v>
      </c>
      <c r="L15" s="12">
        <v>3042</v>
      </c>
      <c r="M15" s="12">
        <v>0</v>
      </c>
      <c r="N15" s="142">
        <v>3467</v>
      </c>
      <c r="O15" s="12">
        <v>3467</v>
      </c>
      <c r="P15" s="12">
        <v>0</v>
      </c>
      <c r="Q15" s="142">
        <v>3393</v>
      </c>
      <c r="R15" s="12">
        <v>3393</v>
      </c>
      <c r="S15" s="12">
        <v>0</v>
      </c>
    </row>
    <row r="16" spans="1:20" ht="15" hidden="1" customHeight="1" outlineLevel="1">
      <c r="A16" s="27" t="e">
        <f>INDEX(#REF!,MATCH(-172428345,#REF!,0),Sy_nop)</f>
        <v>#REF!</v>
      </c>
      <c r="B16" s="142">
        <v>1527</v>
      </c>
      <c r="C16" s="12">
        <v>1527</v>
      </c>
      <c r="D16" s="12">
        <v>0</v>
      </c>
      <c r="E16" s="142">
        <v>1122</v>
      </c>
      <c r="F16" s="12">
        <v>1122</v>
      </c>
      <c r="G16" s="12">
        <v>0</v>
      </c>
      <c r="H16" s="142">
        <v>1498</v>
      </c>
      <c r="I16" s="12">
        <v>1498</v>
      </c>
      <c r="J16" s="12">
        <v>0</v>
      </c>
      <c r="K16" s="142">
        <v>1782</v>
      </c>
      <c r="L16" s="12">
        <v>1782</v>
      </c>
      <c r="M16" s="12">
        <v>0</v>
      </c>
      <c r="N16" s="142">
        <v>1085</v>
      </c>
      <c r="O16" s="12">
        <v>1085</v>
      </c>
      <c r="P16" s="12">
        <v>0</v>
      </c>
      <c r="Q16" s="142">
        <v>1003</v>
      </c>
      <c r="R16" s="12">
        <v>1003</v>
      </c>
      <c r="S16" s="12">
        <v>0</v>
      </c>
    </row>
    <row r="17" spans="1:19" ht="15" hidden="1" customHeight="1" outlineLevel="1">
      <c r="A17" s="27" t="e">
        <f>INDEX(#REF!,MATCH(95921471,#REF!,0),Sy_nop)</f>
        <v>#REF!</v>
      </c>
      <c r="B17" s="142">
        <v>51</v>
      </c>
      <c r="C17" s="12">
        <v>51</v>
      </c>
      <c r="D17" s="12">
        <v>0</v>
      </c>
      <c r="E17" s="142">
        <v>68</v>
      </c>
      <c r="F17" s="12">
        <v>68</v>
      </c>
      <c r="G17" s="12">
        <v>0</v>
      </c>
      <c r="H17" s="142">
        <v>64</v>
      </c>
      <c r="I17" s="12">
        <v>64</v>
      </c>
      <c r="J17" s="12">
        <v>0</v>
      </c>
      <c r="K17" s="142">
        <v>81</v>
      </c>
      <c r="L17" s="12">
        <v>81</v>
      </c>
      <c r="M17" s="12">
        <v>0</v>
      </c>
      <c r="N17" s="142">
        <v>61</v>
      </c>
      <c r="O17" s="12">
        <v>61</v>
      </c>
      <c r="P17" s="12">
        <v>0</v>
      </c>
      <c r="Q17" s="142">
        <v>76</v>
      </c>
      <c r="R17" s="12">
        <v>76</v>
      </c>
      <c r="S17" s="12">
        <v>0</v>
      </c>
    </row>
    <row r="18" spans="1:19" ht="15" hidden="1" customHeight="1" outlineLevel="1">
      <c r="A18" s="27" t="e">
        <f>INDEX(#REF!,MATCH(170691367,#REF!,0),Sy_nop)</f>
        <v>#REF!</v>
      </c>
      <c r="B18" s="142">
        <v>473</v>
      </c>
      <c r="C18" s="12">
        <v>473</v>
      </c>
      <c r="D18" s="12">
        <v>0</v>
      </c>
      <c r="E18" s="142">
        <v>492</v>
      </c>
      <c r="F18" s="12">
        <v>492</v>
      </c>
      <c r="G18" s="12">
        <v>0</v>
      </c>
      <c r="H18" s="142">
        <v>637</v>
      </c>
      <c r="I18" s="12">
        <v>637</v>
      </c>
      <c r="J18" s="12">
        <v>0</v>
      </c>
      <c r="K18" s="142">
        <v>514</v>
      </c>
      <c r="L18" s="12">
        <v>514</v>
      </c>
      <c r="M18" s="12">
        <v>0</v>
      </c>
      <c r="N18" s="142">
        <v>385</v>
      </c>
      <c r="O18" s="12">
        <v>385</v>
      </c>
      <c r="P18" s="12">
        <v>0</v>
      </c>
      <c r="Q18" s="142">
        <v>386</v>
      </c>
      <c r="R18" s="12">
        <v>386</v>
      </c>
      <c r="S18" s="12">
        <v>0</v>
      </c>
    </row>
    <row r="19" spans="1:19" ht="15" hidden="1" customHeight="1" outlineLevel="1">
      <c r="A19" s="69" t="e">
        <f>INDEX(#REF!,MATCH(-207247740,#REF!,0),Sy_nop)</f>
        <v>#REF!</v>
      </c>
      <c r="B19" s="144">
        <v>612</v>
      </c>
      <c r="C19" s="246">
        <v>612</v>
      </c>
      <c r="D19" s="246">
        <v>0</v>
      </c>
      <c r="E19" s="144">
        <v>558</v>
      </c>
      <c r="F19" s="246">
        <v>558</v>
      </c>
      <c r="G19" s="246">
        <v>0</v>
      </c>
      <c r="H19" s="144">
        <v>576</v>
      </c>
      <c r="I19" s="246">
        <v>576</v>
      </c>
      <c r="J19" s="246">
        <v>0</v>
      </c>
      <c r="K19" s="144">
        <v>649</v>
      </c>
      <c r="L19" s="246">
        <v>649</v>
      </c>
      <c r="M19" s="246">
        <v>0</v>
      </c>
      <c r="N19" s="144">
        <v>420</v>
      </c>
      <c r="O19" s="246">
        <v>420</v>
      </c>
      <c r="P19" s="246">
        <v>0</v>
      </c>
      <c r="Q19" s="144">
        <v>443</v>
      </c>
      <c r="R19" s="246">
        <v>443</v>
      </c>
      <c r="S19" s="246">
        <v>0</v>
      </c>
    </row>
    <row r="20" spans="1:19" ht="15" customHeight="1" collapsed="1">
      <c r="A20" s="82" t="e">
        <f>INDEX(#REF!,MATCH(42267586,#REF!,0),Sy_nop)</f>
        <v>#REF!</v>
      </c>
      <c r="B20" s="247">
        <v>7734</v>
      </c>
      <c r="C20" s="261">
        <v>7734</v>
      </c>
      <c r="D20" s="261">
        <v>0</v>
      </c>
      <c r="E20" s="247">
        <v>7398</v>
      </c>
      <c r="F20" s="261">
        <v>7398</v>
      </c>
      <c r="G20" s="261">
        <v>0</v>
      </c>
      <c r="H20" s="247">
        <v>8179</v>
      </c>
      <c r="I20" s="261">
        <v>8179</v>
      </c>
      <c r="J20" s="261">
        <v>0</v>
      </c>
      <c r="K20" s="247">
        <v>8298</v>
      </c>
      <c r="L20" s="261">
        <v>8298</v>
      </c>
      <c r="M20" s="261">
        <v>0</v>
      </c>
      <c r="N20" s="247">
        <v>7902</v>
      </c>
      <c r="O20" s="261">
        <v>7902</v>
      </c>
      <c r="P20" s="261">
        <v>0</v>
      </c>
      <c r="Q20" s="247">
        <v>7969</v>
      </c>
      <c r="R20" s="261">
        <v>7969</v>
      </c>
      <c r="S20" s="261">
        <v>0</v>
      </c>
    </row>
    <row r="21" spans="1:19" ht="15" hidden="1" customHeight="1" outlineLevel="1">
      <c r="A21" s="69" t="e">
        <f>INDEX(#REF!,MATCH(98038703,#REF!,0),Sy_nop)</f>
        <v>#REF!</v>
      </c>
      <c r="B21" s="144">
        <v>26</v>
      </c>
      <c r="C21" s="246">
        <v>26</v>
      </c>
      <c r="D21" s="246">
        <v>0</v>
      </c>
      <c r="E21" s="144">
        <v>83</v>
      </c>
      <c r="F21" s="246">
        <v>83</v>
      </c>
      <c r="G21" s="246">
        <v>0</v>
      </c>
      <c r="H21" s="144">
        <v>105</v>
      </c>
      <c r="I21" s="246">
        <v>105</v>
      </c>
      <c r="J21" s="246">
        <v>0</v>
      </c>
      <c r="K21" s="144">
        <v>93</v>
      </c>
      <c r="L21" s="246">
        <v>93</v>
      </c>
      <c r="M21" s="246">
        <v>0</v>
      </c>
      <c r="N21" s="144">
        <v>99</v>
      </c>
      <c r="O21" s="246">
        <v>99</v>
      </c>
      <c r="P21" s="246">
        <v>0</v>
      </c>
      <c r="Q21" s="144">
        <v>130</v>
      </c>
      <c r="R21" s="246">
        <v>130</v>
      </c>
      <c r="S21" s="246">
        <v>0</v>
      </c>
    </row>
    <row r="22" spans="1:19" ht="15" hidden="1" customHeight="1" outlineLevel="1">
      <c r="A22" s="4"/>
      <c r="B22" s="142"/>
      <c r="C22" s="12"/>
      <c r="D22" s="12"/>
      <c r="E22" s="142"/>
      <c r="F22" s="12"/>
      <c r="G22" s="12"/>
      <c r="H22" s="142"/>
      <c r="I22" s="12"/>
      <c r="J22" s="12"/>
      <c r="K22" s="142"/>
      <c r="L22" s="12"/>
      <c r="M22" s="12"/>
      <c r="N22" s="142"/>
      <c r="O22" s="12"/>
      <c r="P22" s="12"/>
      <c r="Q22" s="142"/>
      <c r="R22" s="12"/>
      <c r="S22" s="12"/>
    </row>
    <row r="23" spans="1:19" ht="15" customHeight="1" collapsed="1">
      <c r="A23" s="51" t="e">
        <f>INDEX(#REF!,MATCH(-108704691,#REF!,0),Sy_nop)</f>
        <v>#REF!</v>
      </c>
      <c r="B23" s="238">
        <v>32857</v>
      </c>
      <c r="C23" s="245">
        <v>32916</v>
      </c>
      <c r="D23" s="245">
        <v>-59</v>
      </c>
      <c r="E23" s="238">
        <v>33537</v>
      </c>
      <c r="F23" s="245">
        <v>33618</v>
      </c>
      <c r="G23" s="245">
        <v>-81</v>
      </c>
      <c r="H23" s="238">
        <v>34900</v>
      </c>
      <c r="I23" s="245">
        <v>34983</v>
      </c>
      <c r="J23" s="245">
        <v>-84</v>
      </c>
      <c r="K23" s="238">
        <v>33855</v>
      </c>
      <c r="L23" s="245">
        <v>33938</v>
      </c>
      <c r="M23" s="245">
        <v>-83</v>
      </c>
      <c r="N23" s="238">
        <v>33571</v>
      </c>
      <c r="O23" s="245">
        <v>33549</v>
      </c>
      <c r="P23" s="245">
        <v>23</v>
      </c>
      <c r="Q23" s="238">
        <v>32723</v>
      </c>
      <c r="R23" s="245">
        <v>32701</v>
      </c>
      <c r="S23" s="245">
        <v>23</v>
      </c>
    </row>
    <row r="24" spans="1:19" ht="15" hidden="1" customHeight="1" outlineLevel="1">
      <c r="A24" s="21"/>
      <c r="B24" s="238"/>
      <c r="C24" s="245"/>
      <c r="D24" s="245"/>
      <c r="E24" s="238"/>
      <c r="F24" s="245"/>
      <c r="G24" s="245"/>
      <c r="H24" s="238"/>
      <c r="I24" s="245"/>
      <c r="J24" s="245"/>
      <c r="K24" s="238"/>
      <c r="L24" s="245"/>
      <c r="M24" s="245"/>
      <c r="N24" s="238"/>
      <c r="O24" s="245"/>
      <c r="P24" s="245"/>
      <c r="Q24" s="238"/>
      <c r="R24" s="245"/>
      <c r="S24" s="245"/>
    </row>
    <row r="25" spans="1:19" ht="15" customHeight="1" collapsed="1">
      <c r="A25" s="38" t="e">
        <f>INDEX(#REF!,MATCH(-92447514,#REF!,0),Sy_nop)</f>
        <v>#REF!</v>
      </c>
      <c r="B25" s="258"/>
      <c r="C25" s="244"/>
      <c r="D25" s="244"/>
      <c r="E25" s="258"/>
      <c r="F25" s="244"/>
      <c r="G25" s="244"/>
      <c r="H25" s="258"/>
      <c r="I25" s="244"/>
      <c r="J25" s="244"/>
      <c r="K25" s="258"/>
      <c r="L25" s="244"/>
      <c r="M25" s="244"/>
      <c r="N25" s="258"/>
      <c r="O25" s="244"/>
      <c r="P25" s="244"/>
      <c r="Q25" s="258"/>
      <c r="R25" s="244"/>
      <c r="S25" s="244"/>
    </row>
    <row r="26" spans="1:19" ht="15" hidden="1" customHeight="1" outlineLevel="1">
      <c r="A26" s="53" t="e">
        <f>INDEX(#REF!,MATCH(-46718014,#REF!,0),Sy_nop)</f>
        <v>#REF!</v>
      </c>
      <c r="B26" s="146">
        <v>327</v>
      </c>
      <c r="C26" s="249">
        <v>327</v>
      </c>
      <c r="D26" s="249">
        <v>0</v>
      </c>
      <c r="E26" s="146">
        <v>327</v>
      </c>
      <c r="F26" s="249">
        <v>327</v>
      </c>
      <c r="G26" s="249">
        <v>0</v>
      </c>
      <c r="H26" s="146">
        <v>327</v>
      </c>
      <c r="I26" s="249">
        <v>327</v>
      </c>
      <c r="J26" s="249">
        <v>0</v>
      </c>
      <c r="K26" s="146">
        <v>327</v>
      </c>
      <c r="L26" s="249">
        <v>327</v>
      </c>
      <c r="M26" s="249">
        <v>0</v>
      </c>
      <c r="N26" s="146">
        <v>327</v>
      </c>
      <c r="O26" s="249">
        <v>327</v>
      </c>
      <c r="P26" s="249">
        <v>0</v>
      </c>
      <c r="Q26" s="146">
        <v>327</v>
      </c>
      <c r="R26" s="249">
        <v>327</v>
      </c>
      <c r="S26" s="249">
        <v>0</v>
      </c>
    </row>
    <row r="27" spans="1:19" ht="15" hidden="1" customHeight="1" outlineLevel="1">
      <c r="A27" s="27" t="e">
        <f>INDEX(#REF!,MATCH(-151730032,#REF!,0),Sy_nop)</f>
        <v>#REF!</v>
      </c>
      <c r="B27" s="142">
        <v>741</v>
      </c>
      <c r="C27" s="12">
        <v>741</v>
      </c>
      <c r="D27" s="12">
        <v>0</v>
      </c>
      <c r="E27" s="142">
        <v>741</v>
      </c>
      <c r="F27" s="12">
        <v>741</v>
      </c>
      <c r="G27" s="12">
        <v>0</v>
      </c>
      <c r="H27" s="142">
        <v>741</v>
      </c>
      <c r="I27" s="12">
        <v>741</v>
      </c>
      <c r="J27" s="12">
        <v>0</v>
      </c>
      <c r="K27" s="142">
        <v>741</v>
      </c>
      <c r="L27" s="12">
        <v>741</v>
      </c>
      <c r="M27" s="12">
        <v>0</v>
      </c>
      <c r="N27" s="142">
        <v>741</v>
      </c>
      <c r="O27" s="12">
        <v>741</v>
      </c>
      <c r="P27" s="12">
        <v>0</v>
      </c>
      <c r="Q27" s="142">
        <v>741</v>
      </c>
      <c r="R27" s="12">
        <v>741</v>
      </c>
      <c r="S27" s="12">
        <v>0</v>
      </c>
    </row>
    <row r="28" spans="1:19" ht="15" customHeight="1" collapsed="1">
      <c r="A28" s="28" t="e">
        <f>INDEX(#REF!,MATCH(-152833348,#REF!,0),Sy_nop)</f>
        <v>#REF!</v>
      </c>
      <c r="B28" s="144">
        <v>9914</v>
      </c>
      <c r="C28" s="12">
        <v>9968</v>
      </c>
      <c r="D28" s="12">
        <v>-54</v>
      </c>
      <c r="E28" s="144">
        <v>10738</v>
      </c>
      <c r="F28" s="12">
        <v>10814</v>
      </c>
      <c r="G28" s="12">
        <v>-77</v>
      </c>
      <c r="H28" s="144">
        <v>11410</v>
      </c>
      <c r="I28" s="12">
        <v>11490</v>
      </c>
      <c r="J28" s="12">
        <v>-80</v>
      </c>
      <c r="K28" s="144">
        <v>10523</v>
      </c>
      <c r="L28" s="12">
        <v>10602</v>
      </c>
      <c r="M28" s="12">
        <v>-80</v>
      </c>
      <c r="N28" s="144">
        <v>11322</v>
      </c>
      <c r="O28" s="12">
        <v>11304</v>
      </c>
      <c r="P28" s="12">
        <v>18</v>
      </c>
      <c r="Q28" s="144">
        <v>10728</v>
      </c>
      <c r="R28" s="12">
        <v>10710</v>
      </c>
      <c r="S28" s="12">
        <v>18</v>
      </c>
    </row>
    <row r="29" spans="1:19" ht="15" customHeight="1">
      <c r="A29" s="37" t="e">
        <f>INDEX(#REF!,MATCH(86649652,#REF!,0),Sy_nop)</f>
        <v>#REF!</v>
      </c>
      <c r="B29" s="239">
        <v>10982</v>
      </c>
      <c r="C29" s="262">
        <v>11036</v>
      </c>
      <c r="D29" s="262">
        <v>-54</v>
      </c>
      <c r="E29" s="239">
        <v>11806</v>
      </c>
      <c r="F29" s="262">
        <v>11882</v>
      </c>
      <c r="G29" s="262">
        <v>-77</v>
      </c>
      <c r="H29" s="239">
        <v>12478</v>
      </c>
      <c r="I29" s="262">
        <v>12558</v>
      </c>
      <c r="J29" s="262">
        <v>-80</v>
      </c>
      <c r="K29" s="239">
        <v>11591</v>
      </c>
      <c r="L29" s="262">
        <v>11670</v>
      </c>
      <c r="M29" s="262">
        <v>-80</v>
      </c>
      <c r="N29" s="239">
        <v>12390</v>
      </c>
      <c r="O29" s="262">
        <v>12372</v>
      </c>
      <c r="P29" s="262">
        <v>18</v>
      </c>
      <c r="Q29" s="239">
        <v>11796</v>
      </c>
      <c r="R29" s="262">
        <v>11778</v>
      </c>
      <c r="S29" s="262">
        <v>18</v>
      </c>
    </row>
    <row r="30" spans="1:19" ht="15" customHeight="1">
      <c r="A30" s="28" t="e">
        <f>INDEX(#REF!,MATCH(-130280784,#REF!,0),Sy_nop)</f>
        <v>#REF!</v>
      </c>
      <c r="B30" s="142">
        <v>3000</v>
      </c>
      <c r="C30" s="12">
        <v>3008</v>
      </c>
      <c r="D30" s="12">
        <v>-8</v>
      </c>
      <c r="E30" s="142">
        <v>2973</v>
      </c>
      <c r="F30" s="12">
        <v>2981</v>
      </c>
      <c r="G30" s="12">
        <v>-8</v>
      </c>
      <c r="H30" s="142">
        <v>3015</v>
      </c>
      <c r="I30" s="12">
        <v>3023</v>
      </c>
      <c r="J30" s="12">
        <v>-8</v>
      </c>
      <c r="K30" s="142">
        <v>2924</v>
      </c>
      <c r="L30" s="12">
        <v>2932</v>
      </c>
      <c r="M30" s="12">
        <v>-8</v>
      </c>
      <c r="N30" s="142">
        <v>3039</v>
      </c>
      <c r="O30" s="12">
        <v>3039</v>
      </c>
      <c r="P30" s="12">
        <v>1</v>
      </c>
      <c r="Q30" s="142">
        <v>2962</v>
      </c>
      <c r="R30" s="12">
        <v>2961</v>
      </c>
      <c r="S30" s="12">
        <v>1</v>
      </c>
    </row>
    <row r="31" spans="1:19" ht="15" customHeight="1">
      <c r="A31" s="29" t="e">
        <f>INDEX(#REF!,MATCH(-152072841,#REF!,0),Sy_nop)</f>
        <v>#REF!</v>
      </c>
      <c r="B31" s="238">
        <v>13981</v>
      </c>
      <c r="C31" s="245">
        <v>14044</v>
      </c>
      <c r="D31" s="245">
        <v>-63</v>
      </c>
      <c r="E31" s="238">
        <v>14779</v>
      </c>
      <c r="F31" s="245">
        <v>14863</v>
      </c>
      <c r="G31" s="245">
        <v>-85</v>
      </c>
      <c r="H31" s="238">
        <v>15493</v>
      </c>
      <c r="I31" s="245">
        <v>15582</v>
      </c>
      <c r="J31" s="245">
        <v>-88</v>
      </c>
      <c r="K31" s="238">
        <v>14514</v>
      </c>
      <c r="L31" s="245">
        <v>14602</v>
      </c>
      <c r="M31" s="245">
        <v>-88</v>
      </c>
      <c r="N31" s="238">
        <v>15430</v>
      </c>
      <c r="O31" s="245">
        <v>15411</v>
      </c>
      <c r="P31" s="245">
        <v>19</v>
      </c>
      <c r="Q31" s="238">
        <v>14758</v>
      </c>
      <c r="R31" s="245">
        <v>14739</v>
      </c>
      <c r="S31" s="245">
        <v>19</v>
      </c>
    </row>
    <row r="32" spans="1:19" ht="15" hidden="1" customHeight="1" outlineLevel="1">
      <c r="A32" s="4"/>
      <c r="B32" s="142"/>
      <c r="C32" s="12"/>
      <c r="D32" s="12"/>
      <c r="E32" s="142"/>
      <c r="F32" s="12"/>
      <c r="G32" s="12"/>
      <c r="H32" s="142"/>
      <c r="I32" s="12"/>
      <c r="J32" s="12"/>
      <c r="K32" s="142"/>
      <c r="L32" s="12"/>
      <c r="M32" s="12"/>
      <c r="N32" s="142"/>
      <c r="O32" s="12"/>
      <c r="P32" s="12"/>
      <c r="Q32" s="142"/>
      <c r="R32" s="12"/>
      <c r="S32" s="12"/>
    </row>
    <row r="33" spans="1:19" ht="15" hidden="1" customHeight="1" outlineLevel="1">
      <c r="A33" s="27" t="e">
        <f>INDEX(#REF!,MATCH(-169442624,#REF!,0),Sy_nop)</f>
        <v>#REF!</v>
      </c>
      <c r="B33" s="142">
        <v>1097</v>
      </c>
      <c r="C33" s="12">
        <v>1097</v>
      </c>
      <c r="D33" s="12">
        <v>0</v>
      </c>
      <c r="E33" s="142">
        <v>1100</v>
      </c>
      <c r="F33" s="12">
        <v>1100</v>
      </c>
      <c r="G33" s="12">
        <v>0</v>
      </c>
      <c r="H33" s="142">
        <v>1114</v>
      </c>
      <c r="I33" s="12">
        <v>1114</v>
      </c>
      <c r="J33" s="12">
        <v>0</v>
      </c>
      <c r="K33" s="142">
        <v>1115</v>
      </c>
      <c r="L33" s="12">
        <v>1115</v>
      </c>
      <c r="M33" s="12">
        <v>0</v>
      </c>
      <c r="N33" s="142">
        <v>993</v>
      </c>
      <c r="O33" s="12">
        <v>993</v>
      </c>
      <c r="P33" s="12">
        <v>0</v>
      </c>
      <c r="Q33" s="142">
        <v>999</v>
      </c>
      <c r="R33" s="12">
        <v>999</v>
      </c>
      <c r="S33" s="12">
        <v>0</v>
      </c>
    </row>
    <row r="34" spans="1:19" ht="15" hidden="1" customHeight="1" outlineLevel="1">
      <c r="A34" s="27" t="e">
        <f>INDEX(#REF!,MATCH(-112911001,#REF!,0),Sy_nop)</f>
        <v>#REF!</v>
      </c>
      <c r="B34" s="142">
        <v>3720</v>
      </c>
      <c r="C34" s="12">
        <v>3720</v>
      </c>
      <c r="D34" s="12">
        <v>0</v>
      </c>
      <c r="E34" s="142">
        <v>3719</v>
      </c>
      <c r="F34" s="12">
        <v>3719</v>
      </c>
      <c r="G34" s="12">
        <v>0</v>
      </c>
      <c r="H34" s="142">
        <v>3968</v>
      </c>
      <c r="I34" s="12">
        <v>3968</v>
      </c>
      <c r="J34" s="12">
        <v>0</v>
      </c>
      <c r="K34" s="142">
        <v>3967</v>
      </c>
      <c r="L34" s="12">
        <v>3967</v>
      </c>
      <c r="M34" s="12">
        <v>0</v>
      </c>
      <c r="N34" s="142">
        <v>3218</v>
      </c>
      <c r="O34" s="12">
        <v>3218</v>
      </c>
      <c r="P34" s="12">
        <v>0</v>
      </c>
      <c r="Q34" s="142">
        <v>3217</v>
      </c>
      <c r="R34" s="12">
        <v>3217</v>
      </c>
      <c r="S34" s="12">
        <v>0</v>
      </c>
    </row>
    <row r="35" spans="1:19" ht="15" hidden="1" customHeight="1" outlineLevel="1">
      <c r="A35" s="27" t="e">
        <f>INDEX(#REF!,MATCH(213435146,#REF!,0),Sy_nop)</f>
        <v>#REF!</v>
      </c>
      <c r="B35" s="142">
        <v>865</v>
      </c>
      <c r="C35" s="12">
        <v>865</v>
      </c>
      <c r="D35" s="12">
        <v>0</v>
      </c>
      <c r="E35" s="142">
        <v>877</v>
      </c>
      <c r="F35" s="12">
        <v>877</v>
      </c>
      <c r="G35" s="12">
        <v>0</v>
      </c>
      <c r="H35" s="142">
        <v>601</v>
      </c>
      <c r="I35" s="12">
        <v>601</v>
      </c>
      <c r="J35" s="12">
        <v>0</v>
      </c>
      <c r="K35" s="142">
        <v>674</v>
      </c>
      <c r="L35" s="12">
        <v>674</v>
      </c>
      <c r="M35" s="12">
        <v>0</v>
      </c>
      <c r="N35" s="142">
        <v>543</v>
      </c>
      <c r="O35" s="12">
        <v>543</v>
      </c>
      <c r="P35" s="12">
        <v>0</v>
      </c>
      <c r="Q35" s="142">
        <v>555</v>
      </c>
      <c r="R35" s="12">
        <v>555</v>
      </c>
      <c r="S35" s="12">
        <v>0</v>
      </c>
    </row>
    <row r="36" spans="1:19" ht="15" hidden="1" customHeight="1" outlineLevel="1">
      <c r="A36" s="27" t="e">
        <f>INDEX(#REF!,MATCH(167705646,#REF!,0),Sy_nop)</f>
        <v>#REF!</v>
      </c>
      <c r="B36" s="142">
        <v>3490</v>
      </c>
      <c r="C36" s="12">
        <v>3490</v>
      </c>
      <c r="D36" s="12">
        <v>0</v>
      </c>
      <c r="E36" s="142">
        <v>3232</v>
      </c>
      <c r="F36" s="12">
        <v>3232</v>
      </c>
      <c r="G36" s="12">
        <v>0</v>
      </c>
      <c r="H36" s="142">
        <v>3245</v>
      </c>
      <c r="I36" s="12">
        <v>3245</v>
      </c>
      <c r="J36" s="12">
        <v>0</v>
      </c>
      <c r="K36" s="142">
        <v>3148</v>
      </c>
      <c r="L36" s="12">
        <v>3148</v>
      </c>
      <c r="M36" s="12">
        <v>0</v>
      </c>
      <c r="N36" s="142">
        <v>2993</v>
      </c>
      <c r="O36" s="12">
        <v>2993</v>
      </c>
      <c r="P36" s="12">
        <v>0</v>
      </c>
      <c r="Q36" s="142">
        <v>2755</v>
      </c>
      <c r="R36" s="12">
        <v>2755</v>
      </c>
      <c r="S36" s="12">
        <v>0</v>
      </c>
    </row>
    <row r="37" spans="1:19" ht="15" hidden="1" customHeight="1" outlineLevel="1">
      <c r="A37" s="27" t="e">
        <f>INDEX(#REF!,MATCH(-155819069,#REF!,0),Sy_nop)</f>
        <v>#REF!</v>
      </c>
      <c r="B37" s="142">
        <v>269</v>
      </c>
      <c r="C37" s="12">
        <v>269</v>
      </c>
      <c r="D37" s="12">
        <v>0</v>
      </c>
      <c r="E37" s="142">
        <v>326</v>
      </c>
      <c r="F37" s="12">
        <v>326</v>
      </c>
      <c r="G37" s="12">
        <v>0</v>
      </c>
      <c r="H37" s="142">
        <v>319</v>
      </c>
      <c r="I37" s="12">
        <v>319</v>
      </c>
      <c r="J37" s="12">
        <v>0</v>
      </c>
      <c r="K37" s="142">
        <v>329</v>
      </c>
      <c r="L37" s="12">
        <v>329</v>
      </c>
      <c r="M37" s="12">
        <v>0</v>
      </c>
      <c r="N37" s="142">
        <v>275</v>
      </c>
      <c r="O37" s="12">
        <v>275</v>
      </c>
      <c r="P37" s="12">
        <v>0</v>
      </c>
      <c r="Q37" s="142">
        <v>274</v>
      </c>
      <c r="R37" s="12">
        <v>274</v>
      </c>
      <c r="S37" s="12">
        <v>0</v>
      </c>
    </row>
    <row r="38" spans="1:19" ht="15" hidden="1" customHeight="1" outlineLevel="1">
      <c r="A38" s="27" t="e">
        <f>INDEX(#REF!,MATCH(-27395288,#REF!,0),Sy_nop)</f>
        <v>#REF!</v>
      </c>
      <c r="B38" s="142">
        <v>392</v>
      </c>
      <c r="C38" s="12">
        <v>392</v>
      </c>
      <c r="D38" s="12">
        <v>0</v>
      </c>
      <c r="E38" s="142">
        <v>365</v>
      </c>
      <c r="F38" s="12">
        <v>365</v>
      </c>
      <c r="G38" s="12">
        <v>0</v>
      </c>
      <c r="H38" s="142">
        <v>446</v>
      </c>
      <c r="I38" s="12">
        <v>446</v>
      </c>
      <c r="J38" s="12">
        <v>0</v>
      </c>
      <c r="K38" s="142">
        <v>466</v>
      </c>
      <c r="L38" s="12">
        <v>466</v>
      </c>
      <c r="M38" s="12">
        <v>0</v>
      </c>
      <c r="N38" s="142">
        <v>328</v>
      </c>
      <c r="O38" s="12">
        <v>328</v>
      </c>
      <c r="P38" s="12">
        <v>0</v>
      </c>
      <c r="Q38" s="142">
        <v>337</v>
      </c>
      <c r="R38" s="12">
        <v>337</v>
      </c>
      <c r="S38" s="12">
        <v>0</v>
      </c>
    </row>
    <row r="39" spans="1:19" ht="15" hidden="1" customHeight="1" outlineLevel="1">
      <c r="A39" s="28" t="e">
        <f>INDEX(#REF!,MATCH(177014909,#REF!,0),Sy_nop)</f>
        <v>#REF!</v>
      </c>
      <c r="B39" s="142">
        <v>163</v>
      </c>
      <c r="C39" s="12">
        <v>163</v>
      </c>
      <c r="D39" s="12">
        <v>0</v>
      </c>
      <c r="E39" s="142">
        <v>167</v>
      </c>
      <c r="F39" s="12">
        <v>167</v>
      </c>
      <c r="G39" s="12">
        <v>0</v>
      </c>
      <c r="H39" s="142">
        <v>169</v>
      </c>
      <c r="I39" s="12">
        <v>169</v>
      </c>
      <c r="J39" s="12">
        <v>0</v>
      </c>
      <c r="K39" s="142">
        <v>176</v>
      </c>
      <c r="L39" s="12">
        <v>176</v>
      </c>
      <c r="M39" s="12">
        <v>0</v>
      </c>
      <c r="N39" s="142">
        <v>8</v>
      </c>
      <c r="O39" s="12">
        <v>8</v>
      </c>
      <c r="P39" s="12">
        <v>0</v>
      </c>
      <c r="Q39" s="142">
        <v>9</v>
      </c>
      <c r="R39" s="12">
        <v>9</v>
      </c>
      <c r="S39" s="12">
        <v>0</v>
      </c>
    </row>
    <row r="40" spans="1:19" ht="15" customHeight="1" collapsed="1">
      <c r="A40" s="69" t="e">
        <f>INDEX(#REF!,MATCH(187028372,#REF!,0),Sy_nop)</f>
        <v>#REF!</v>
      </c>
      <c r="B40" s="142">
        <v>281</v>
      </c>
      <c r="C40" s="12">
        <v>278</v>
      </c>
      <c r="D40" s="12">
        <v>4</v>
      </c>
      <c r="E40" s="142">
        <v>526</v>
      </c>
      <c r="F40" s="12">
        <v>522</v>
      </c>
      <c r="G40" s="12">
        <v>4</v>
      </c>
      <c r="H40" s="142">
        <v>564</v>
      </c>
      <c r="I40" s="12">
        <v>559</v>
      </c>
      <c r="J40" s="12">
        <v>4</v>
      </c>
      <c r="K40" s="142">
        <v>572</v>
      </c>
      <c r="L40" s="12">
        <v>568</v>
      </c>
      <c r="M40" s="12">
        <v>4</v>
      </c>
      <c r="N40" s="142">
        <v>652</v>
      </c>
      <c r="O40" s="12">
        <v>648</v>
      </c>
      <c r="P40" s="12">
        <v>4</v>
      </c>
      <c r="Q40" s="142">
        <v>628</v>
      </c>
      <c r="R40" s="12">
        <v>624</v>
      </c>
      <c r="S40" s="12">
        <v>4</v>
      </c>
    </row>
    <row r="41" spans="1:19" ht="15" customHeight="1">
      <c r="A41" s="73" t="e">
        <f>INDEX(#REF!,MATCH(-56027277,#REF!,0),Sy_nop)</f>
        <v>#REF!</v>
      </c>
      <c r="B41" s="238">
        <v>10277</v>
      </c>
      <c r="C41" s="245">
        <v>10273</v>
      </c>
      <c r="D41" s="245">
        <v>4</v>
      </c>
      <c r="E41" s="238">
        <v>10312</v>
      </c>
      <c r="F41" s="245">
        <v>10308</v>
      </c>
      <c r="G41" s="245">
        <v>4</v>
      </c>
      <c r="H41" s="238">
        <v>10426</v>
      </c>
      <c r="I41" s="245">
        <v>10422</v>
      </c>
      <c r="J41" s="245">
        <v>4</v>
      </c>
      <c r="K41" s="238">
        <v>10449</v>
      </c>
      <c r="L41" s="245">
        <v>10445</v>
      </c>
      <c r="M41" s="245">
        <v>4</v>
      </c>
      <c r="N41" s="238">
        <v>9010</v>
      </c>
      <c r="O41" s="245">
        <v>9006</v>
      </c>
      <c r="P41" s="245">
        <v>4</v>
      </c>
      <c r="Q41" s="238">
        <v>8774</v>
      </c>
      <c r="R41" s="245">
        <v>8770</v>
      </c>
      <c r="S41" s="245">
        <v>4</v>
      </c>
    </row>
    <row r="42" spans="1:19" ht="15" hidden="1" customHeight="1" outlineLevel="1">
      <c r="A42" s="4"/>
      <c r="B42" s="142"/>
      <c r="C42" s="12"/>
      <c r="D42" s="12"/>
      <c r="E42" s="142"/>
      <c r="F42" s="12"/>
      <c r="G42" s="12"/>
      <c r="H42" s="142"/>
      <c r="I42" s="12"/>
      <c r="J42" s="12"/>
      <c r="K42" s="142"/>
      <c r="L42" s="12"/>
      <c r="M42" s="12"/>
      <c r="N42" s="142"/>
      <c r="O42" s="12"/>
      <c r="P42" s="12"/>
      <c r="Q42" s="142"/>
      <c r="R42" s="12"/>
      <c r="S42" s="12"/>
    </row>
    <row r="43" spans="1:19" ht="15" hidden="1" customHeight="1" outlineLevel="1">
      <c r="A43" s="27" t="e">
        <f>INDEX(#REF!,MATCH(180108612,#REF!,0),Sy_nop)</f>
        <v>#REF!</v>
      </c>
      <c r="B43" s="142">
        <v>3771</v>
      </c>
      <c r="C43" s="12">
        <v>3771</v>
      </c>
      <c r="D43" s="12">
        <v>0</v>
      </c>
      <c r="E43" s="142">
        <v>3771</v>
      </c>
      <c r="F43" s="12">
        <v>3771</v>
      </c>
      <c r="G43" s="12">
        <v>0</v>
      </c>
      <c r="H43" s="142">
        <v>4233</v>
      </c>
      <c r="I43" s="12">
        <v>4233</v>
      </c>
      <c r="J43" s="12">
        <v>0</v>
      </c>
      <c r="K43" s="142">
        <v>4330</v>
      </c>
      <c r="L43" s="12">
        <v>4330</v>
      </c>
      <c r="M43" s="12">
        <v>0</v>
      </c>
      <c r="N43" s="142">
        <v>4481</v>
      </c>
      <c r="O43" s="12">
        <v>4481</v>
      </c>
      <c r="P43" s="12">
        <v>0</v>
      </c>
      <c r="Q43" s="142">
        <v>4898</v>
      </c>
      <c r="R43" s="12">
        <v>4898</v>
      </c>
      <c r="S43" s="12">
        <v>0</v>
      </c>
    </row>
    <row r="44" spans="1:19" ht="15" hidden="1" customHeight="1" outlineLevel="1">
      <c r="A44" s="27" t="e">
        <f>INDEX(#REF!,MATCH(-112911001,#REF!,0),Sy_nop)</f>
        <v>#REF!</v>
      </c>
      <c r="B44" s="142">
        <v>300</v>
      </c>
      <c r="C44" s="12">
        <v>300</v>
      </c>
      <c r="D44" s="12">
        <v>0</v>
      </c>
      <c r="E44" s="142">
        <v>317</v>
      </c>
      <c r="F44" s="12">
        <v>317</v>
      </c>
      <c r="G44" s="12">
        <v>0</v>
      </c>
      <c r="H44" s="142">
        <v>182</v>
      </c>
      <c r="I44" s="12">
        <v>182</v>
      </c>
      <c r="J44" s="12">
        <v>0</v>
      </c>
      <c r="K44" s="142">
        <v>159</v>
      </c>
      <c r="L44" s="12">
        <v>159</v>
      </c>
      <c r="M44" s="12">
        <v>0</v>
      </c>
      <c r="N44" s="142">
        <v>159</v>
      </c>
      <c r="O44" s="12">
        <v>159</v>
      </c>
      <c r="P44" s="12">
        <v>0</v>
      </c>
      <c r="Q44" s="142">
        <v>167</v>
      </c>
      <c r="R44" s="12">
        <v>167</v>
      </c>
      <c r="S44" s="12">
        <v>0</v>
      </c>
    </row>
    <row r="45" spans="1:19" ht="15" hidden="1" customHeight="1" outlineLevel="1">
      <c r="A45" s="27" t="e">
        <f>INDEX(#REF!,MATCH(213435146,#REF!,0),Sy_nop)</f>
        <v>#REF!</v>
      </c>
      <c r="B45" s="142">
        <v>823</v>
      </c>
      <c r="C45" s="12">
        <v>823</v>
      </c>
      <c r="D45" s="12">
        <v>0</v>
      </c>
      <c r="E45" s="142">
        <v>1231</v>
      </c>
      <c r="F45" s="12">
        <v>1231</v>
      </c>
      <c r="G45" s="12">
        <v>0</v>
      </c>
      <c r="H45" s="142">
        <v>975</v>
      </c>
      <c r="I45" s="12">
        <v>975</v>
      </c>
      <c r="J45" s="12">
        <v>0</v>
      </c>
      <c r="K45" s="142">
        <v>439</v>
      </c>
      <c r="L45" s="12">
        <v>439</v>
      </c>
      <c r="M45" s="12">
        <v>0</v>
      </c>
      <c r="N45" s="142">
        <v>1549</v>
      </c>
      <c r="O45" s="12">
        <v>1549</v>
      </c>
      <c r="P45" s="12">
        <v>0</v>
      </c>
      <c r="Q45" s="142">
        <v>1136</v>
      </c>
      <c r="R45" s="12">
        <v>1136</v>
      </c>
      <c r="S45" s="12">
        <v>0</v>
      </c>
    </row>
    <row r="46" spans="1:19" ht="15" hidden="1" customHeight="1" outlineLevel="1">
      <c r="A46" s="27" t="e">
        <f>INDEX(#REF!,MATCH(192375442,#REF!,0),Sy_nop)</f>
        <v>#REF!</v>
      </c>
      <c r="B46" s="142">
        <v>242</v>
      </c>
      <c r="C46" s="12">
        <v>242</v>
      </c>
      <c r="D46" s="12">
        <v>0</v>
      </c>
      <c r="E46" s="142">
        <v>253</v>
      </c>
      <c r="F46" s="12">
        <v>253</v>
      </c>
      <c r="G46" s="12">
        <v>0</v>
      </c>
      <c r="H46" s="142">
        <v>261</v>
      </c>
      <c r="I46" s="12">
        <v>261</v>
      </c>
      <c r="J46" s="12">
        <v>0</v>
      </c>
      <c r="K46" s="142">
        <v>286</v>
      </c>
      <c r="L46" s="12">
        <v>286</v>
      </c>
      <c r="M46" s="12">
        <v>0</v>
      </c>
      <c r="N46" s="142">
        <v>309</v>
      </c>
      <c r="O46" s="12">
        <v>309</v>
      </c>
      <c r="P46" s="12">
        <v>0</v>
      </c>
      <c r="Q46" s="142">
        <v>314</v>
      </c>
      <c r="R46" s="12">
        <v>314</v>
      </c>
      <c r="S46" s="12">
        <v>0</v>
      </c>
    </row>
    <row r="47" spans="1:19" ht="15" hidden="1" customHeight="1" outlineLevel="1">
      <c r="A47" s="27" t="e">
        <f>INDEX(#REF!,MATCH(167705646,#REF!,0),Sy_nop)</f>
        <v>#REF!</v>
      </c>
      <c r="B47" s="142">
        <v>86</v>
      </c>
      <c r="C47" s="12">
        <v>86</v>
      </c>
      <c r="D47" s="12">
        <v>0</v>
      </c>
      <c r="E47" s="142">
        <v>85</v>
      </c>
      <c r="F47" s="12">
        <v>85</v>
      </c>
      <c r="G47" s="12">
        <v>0</v>
      </c>
      <c r="H47" s="142">
        <v>89</v>
      </c>
      <c r="I47" s="12">
        <v>89</v>
      </c>
      <c r="J47" s="12">
        <v>0</v>
      </c>
      <c r="K47" s="142">
        <v>78</v>
      </c>
      <c r="L47" s="12">
        <v>78</v>
      </c>
      <c r="M47" s="12">
        <v>0</v>
      </c>
      <c r="N47" s="142">
        <v>68</v>
      </c>
      <c r="O47" s="12">
        <v>68</v>
      </c>
      <c r="P47" s="12">
        <v>0</v>
      </c>
      <c r="Q47" s="142">
        <v>114</v>
      </c>
      <c r="R47" s="12">
        <v>114</v>
      </c>
      <c r="S47" s="12">
        <v>0</v>
      </c>
    </row>
    <row r="48" spans="1:19" ht="15" hidden="1" customHeight="1" outlineLevel="1">
      <c r="A48" s="27" t="e">
        <f>INDEX(#REF!,MATCH(-155819069,#REF!,0),Sy_nop)</f>
        <v>#REF!</v>
      </c>
      <c r="B48" s="142">
        <v>420</v>
      </c>
      <c r="C48" s="12">
        <v>420</v>
      </c>
      <c r="D48" s="12">
        <v>0</v>
      </c>
      <c r="E48" s="142">
        <v>401</v>
      </c>
      <c r="F48" s="12">
        <v>401</v>
      </c>
      <c r="G48" s="12">
        <v>0</v>
      </c>
      <c r="H48" s="142">
        <v>429</v>
      </c>
      <c r="I48" s="12">
        <v>429</v>
      </c>
      <c r="J48" s="12">
        <v>0</v>
      </c>
      <c r="K48" s="142">
        <v>474</v>
      </c>
      <c r="L48" s="12">
        <v>474</v>
      </c>
      <c r="M48" s="12">
        <v>0</v>
      </c>
      <c r="N48" s="142">
        <v>412</v>
      </c>
      <c r="O48" s="12">
        <v>412</v>
      </c>
      <c r="P48" s="12">
        <v>0</v>
      </c>
      <c r="Q48" s="142">
        <v>410</v>
      </c>
      <c r="R48" s="12">
        <v>410</v>
      </c>
      <c r="S48" s="12">
        <v>0</v>
      </c>
    </row>
    <row r="49" spans="1:19" ht="15" hidden="1" customHeight="1" outlineLevel="1">
      <c r="A49" s="27" t="e">
        <f>INDEX(#REF!,MATCH(-27395288,#REF!,0),Sy_nop)</f>
        <v>#REF!</v>
      </c>
      <c r="B49" s="142">
        <v>1684</v>
      </c>
      <c r="C49" s="12">
        <v>1684</v>
      </c>
      <c r="D49" s="12">
        <v>0</v>
      </c>
      <c r="E49" s="142">
        <v>1044</v>
      </c>
      <c r="F49" s="12">
        <v>1044</v>
      </c>
      <c r="G49" s="12">
        <v>0</v>
      </c>
      <c r="H49" s="142">
        <v>1417</v>
      </c>
      <c r="I49" s="12">
        <v>1417</v>
      </c>
      <c r="J49" s="12">
        <v>0</v>
      </c>
      <c r="K49" s="142">
        <v>1610</v>
      </c>
      <c r="L49" s="12">
        <v>1610</v>
      </c>
      <c r="M49" s="12">
        <v>0</v>
      </c>
      <c r="N49" s="142">
        <v>749</v>
      </c>
      <c r="O49" s="12">
        <v>749</v>
      </c>
      <c r="P49" s="12">
        <v>0</v>
      </c>
      <c r="Q49" s="142">
        <v>681</v>
      </c>
      <c r="R49" s="12">
        <v>681</v>
      </c>
      <c r="S49" s="12">
        <v>0</v>
      </c>
    </row>
    <row r="50" spans="1:19" ht="15" hidden="1" customHeight="1" outlineLevel="1">
      <c r="A50" s="69" t="e">
        <f>INDEX(#REF!,MATCH(177014909,#REF!,0),Sy_nop)</f>
        <v>#REF!</v>
      </c>
      <c r="B50" s="144">
        <v>1245</v>
      </c>
      <c r="C50" s="246">
        <v>1245</v>
      </c>
      <c r="D50" s="246">
        <v>0</v>
      </c>
      <c r="E50" s="144">
        <v>1314</v>
      </c>
      <c r="F50" s="246">
        <v>1314</v>
      </c>
      <c r="G50" s="246">
        <v>0</v>
      </c>
      <c r="H50" s="144">
        <v>1362</v>
      </c>
      <c r="I50" s="246">
        <v>1362</v>
      </c>
      <c r="J50" s="246">
        <v>0</v>
      </c>
      <c r="K50" s="144">
        <v>1486</v>
      </c>
      <c r="L50" s="246">
        <v>1486</v>
      </c>
      <c r="M50" s="246">
        <v>0</v>
      </c>
      <c r="N50" s="144">
        <v>1375</v>
      </c>
      <c r="O50" s="246">
        <v>1375</v>
      </c>
      <c r="P50" s="246">
        <v>0</v>
      </c>
      <c r="Q50" s="144">
        <v>1452</v>
      </c>
      <c r="R50" s="246">
        <v>1452</v>
      </c>
      <c r="S50" s="246">
        <v>0</v>
      </c>
    </row>
    <row r="51" spans="1:19" ht="15" customHeight="1" collapsed="1">
      <c r="A51" s="73" t="e">
        <f>INDEX(#REF!,MATCH(-179348105,#REF!,0),Sy_nop)</f>
        <v>#REF!</v>
      </c>
      <c r="B51" s="147">
        <v>8571</v>
      </c>
      <c r="C51" s="74">
        <v>8571</v>
      </c>
      <c r="D51" s="74">
        <v>0</v>
      </c>
      <c r="E51" s="147">
        <v>8417</v>
      </c>
      <c r="F51" s="74">
        <v>8417</v>
      </c>
      <c r="G51" s="74">
        <v>0</v>
      </c>
      <c r="H51" s="147">
        <v>8948</v>
      </c>
      <c r="I51" s="74">
        <v>8948</v>
      </c>
      <c r="J51" s="74">
        <v>0</v>
      </c>
      <c r="K51" s="147">
        <v>8863</v>
      </c>
      <c r="L51" s="74">
        <v>8863</v>
      </c>
      <c r="M51" s="74">
        <v>0</v>
      </c>
      <c r="N51" s="147">
        <v>9102</v>
      </c>
      <c r="O51" s="74">
        <v>9102</v>
      </c>
      <c r="P51" s="74">
        <v>0</v>
      </c>
      <c r="Q51" s="147">
        <v>9172</v>
      </c>
      <c r="R51" s="74">
        <v>9172</v>
      </c>
      <c r="S51" s="74">
        <v>0</v>
      </c>
    </row>
    <row r="52" spans="1:19" ht="15" hidden="1" customHeight="1" outlineLevel="1">
      <c r="A52" s="69" t="e">
        <f>INDEX(#REF!,MATCH(38413376,#REF!,0),Sy_nop)</f>
        <v>#REF!</v>
      </c>
      <c r="B52" s="144">
        <v>28</v>
      </c>
      <c r="C52" s="246">
        <v>28</v>
      </c>
      <c r="D52" s="246">
        <v>0</v>
      </c>
      <c r="E52" s="144">
        <v>30</v>
      </c>
      <c r="F52" s="246">
        <v>30</v>
      </c>
      <c r="G52" s="246">
        <v>0</v>
      </c>
      <c r="H52" s="144">
        <v>32</v>
      </c>
      <c r="I52" s="246">
        <v>32</v>
      </c>
      <c r="J52" s="246">
        <v>0</v>
      </c>
      <c r="K52" s="144">
        <v>29</v>
      </c>
      <c r="L52" s="246">
        <v>29</v>
      </c>
      <c r="M52" s="246">
        <v>0</v>
      </c>
      <c r="N52" s="144">
        <v>29</v>
      </c>
      <c r="O52" s="246">
        <v>29</v>
      </c>
      <c r="P52" s="246">
        <v>0</v>
      </c>
      <c r="Q52" s="144">
        <v>19</v>
      </c>
      <c r="R52" s="246">
        <v>19</v>
      </c>
      <c r="S52" s="246">
        <v>0</v>
      </c>
    </row>
    <row r="53" spans="1:19" ht="15" hidden="1" customHeight="1" outlineLevel="1">
      <c r="A53" s="4"/>
      <c r="B53" s="142"/>
      <c r="C53" s="12"/>
      <c r="D53" s="12"/>
      <c r="E53" s="142"/>
      <c r="F53" s="12"/>
      <c r="G53" s="12"/>
      <c r="H53" s="142"/>
      <c r="I53" s="12"/>
      <c r="J53" s="12"/>
      <c r="K53" s="142"/>
      <c r="L53" s="12"/>
      <c r="M53" s="12"/>
      <c r="N53" s="142"/>
      <c r="O53" s="12"/>
      <c r="P53" s="12"/>
      <c r="Q53" s="142"/>
      <c r="R53" s="12"/>
      <c r="S53" s="12"/>
    </row>
    <row r="54" spans="1:19" ht="15" customHeight="1" collapsed="1" thickBot="1">
      <c r="A54" s="55" t="e">
        <f>INDEX(#REF!,MATCH(-208496483,#REF!,0),Sy_nop)</f>
        <v>#REF!</v>
      </c>
      <c r="B54" s="248">
        <v>32857</v>
      </c>
      <c r="C54" s="250">
        <v>32916</v>
      </c>
      <c r="D54" s="250">
        <v>-59</v>
      </c>
      <c r="E54" s="248">
        <v>33537</v>
      </c>
      <c r="F54" s="250">
        <v>33618</v>
      </c>
      <c r="G54" s="250">
        <v>-81</v>
      </c>
      <c r="H54" s="248">
        <v>34900</v>
      </c>
      <c r="I54" s="250">
        <v>34983</v>
      </c>
      <c r="J54" s="250">
        <v>-84</v>
      </c>
      <c r="K54" s="248">
        <v>33855</v>
      </c>
      <c r="L54" s="250">
        <v>33938</v>
      </c>
      <c r="M54" s="250">
        <v>-83</v>
      </c>
      <c r="N54" s="248">
        <v>33571</v>
      </c>
      <c r="O54" s="250">
        <v>33549</v>
      </c>
      <c r="P54" s="250">
        <v>23</v>
      </c>
      <c r="Q54" s="248">
        <v>32723</v>
      </c>
      <c r="R54" s="250">
        <v>32701</v>
      </c>
      <c r="S54" s="250">
        <v>23</v>
      </c>
    </row>
    <row r="55" spans="1:19" ht="15" customHeight="1" thickTop="1">
      <c r="A55" s="153"/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P55" s="153"/>
      <c r="Q55" s="153"/>
      <c r="R55" s="153"/>
      <c r="S55" s="153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AI35"/>
  <sheetViews>
    <sheetView zoomScale="85" zoomScaleNormal="85" workbookViewId="0">
      <selection activeCell="D35" sqref="D35"/>
    </sheetView>
  </sheetViews>
  <sheetFormatPr defaultColWidth="11.42578125" defaultRowHeight="15" outlineLevelRow="1" outlineLevelCol="1"/>
  <cols>
    <col min="1" max="1" width="79.28515625" style="6" customWidth="1"/>
    <col min="2" max="13" width="11.5703125" style="6" hidden="1" customWidth="1" outlineLevel="1"/>
    <col min="14" max="14" width="11.5703125" style="6" customWidth="1" collapsed="1"/>
    <col min="15" max="22" width="11.5703125" style="6" customWidth="1"/>
    <col min="23" max="34" width="11.5703125" style="6" hidden="1" customWidth="1" outlineLevel="1"/>
    <col min="35" max="35" width="11.42578125" style="6" collapsed="1"/>
    <col min="36" max="16384" width="11.42578125" style="6"/>
  </cols>
  <sheetData>
    <row r="1" spans="1:34" ht="15" customHeight="1">
      <c r="A1" s="1" t="e">
        <f>INDEX(#REF!,MATCH(153240297,#REF!,0),Sy_nop)</f>
        <v>#REF!</v>
      </c>
    </row>
    <row r="2" spans="1:34" ht="15" customHeight="1">
      <c r="A2" s="40" t="e">
        <f>INDEX(#REF!,MATCH(132773176,#REF!,0),Sy_nop)</f>
        <v>#REF!</v>
      </c>
    </row>
    <row r="3" spans="1:34" ht="30" customHeight="1">
      <c r="B3" s="160" t="e">
        <f>INDEX(#REF!,MATCH(-174564184,#REF!,0),Sy_nop)</f>
        <v>#REF!</v>
      </c>
      <c r="C3" s="149" t="e">
        <f>INDEX(#REF!,MATCH(-187872572,#REF!,0),Sy_nop)</f>
        <v>#REF!</v>
      </c>
      <c r="D3" s="150" t="s">
        <v>275</v>
      </c>
      <c r="E3" s="160" t="e">
        <f>INDEX(#REF!,MATCH(-174564184,#REF!,0),Sy_nop)</f>
        <v>#REF!</v>
      </c>
      <c r="F3" s="149" t="e">
        <f>INDEX(#REF!,MATCH(-187872572,#REF!,0),Sy_nop)</f>
        <v>#REF!</v>
      </c>
      <c r="G3" s="150" t="s">
        <v>275</v>
      </c>
      <c r="H3" s="160" t="e">
        <f>INDEX(#REF!,MATCH(-174564184,#REF!,0),Sy_nop)</f>
        <v>#REF!</v>
      </c>
      <c r="I3" s="149" t="e">
        <f>INDEX(#REF!,MATCH(-187872572,#REF!,0),Sy_nop)</f>
        <v>#REF!</v>
      </c>
      <c r="J3" s="150" t="s">
        <v>275</v>
      </c>
      <c r="K3" s="160" t="e">
        <f>INDEX(#REF!,MATCH(-174564184,#REF!,0),Sy_nop)</f>
        <v>#REF!</v>
      </c>
      <c r="L3" s="149" t="e">
        <f>INDEX(#REF!,MATCH(-187872572,#REF!,0),Sy_nop)</f>
        <v>#REF!</v>
      </c>
      <c r="M3" s="150" t="s">
        <v>275</v>
      </c>
      <c r="N3" s="160" t="e">
        <f>INDEX(#REF!,MATCH(-174564184,#REF!,0),Sy_nop)</f>
        <v>#REF!</v>
      </c>
      <c r="O3" s="149" t="e">
        <f>INDEX(#REF!,MATCH(-187872572,#REF!,0),Sy_nop)</f>
        <v>#REF!</v>
      </c>
      <c r="P3" s="150" t="s">
        <v>275</v>
      </c>
      <c r="Q3" s="160" t="e">
        <f>INDEX(#REF!,MATCH(-174564184,#REF!,0),Sy_nop)</f>
        <v>#REF!</v>
      </c>
      <c r="R3" s="149" t="e">
        <f>INDEX(#REF!,MATCH(-187872572,#REF!,0),Sy_nop)</f>
        <v>#REF!</v>
      </c>
      <c r="S3" s="150" t="s">
        <v>275</v>
      </c>
      <c r="T3" s="160" t="e">
        <f>INDEX(#REF!,MATCH(-174564184,#REF!,0),Sy_nop)</f>
        <v>#REF!</v>
      </c>
      <c r="U3" s="149" t="e">
        <f>INDEX(#REF!,MATCH(-187872572,#REF!,0),Sy_nop)</f>
        <v>#REF!</v>
      </c>
      <c r="V3" s="150" t="s">
        <v>275</v>
      </c>
      <c r="W3" s="160" t="e">
        <f>INDEX(#REF!,MATCH(-174564184,#REF!,0),Sy_nop)</f>
        <v>#REF!</v>
      </c>
      <c r="X3" s="149" t="e">
        <f>INDEX(#REF!,MATCH(-187872572,#REF!,0),Sy_nop)</f>
        <v>#REF!</v>
      </c>
      <c r="Y3" s="150" t="s">
        <v>275</v>
      </c>
      <c r="Z3" s="160" t="e">
        <f>INDEX(#REF!,MATCH(-174564184,#REF!,0),Sy_nop)</f>
        <v>#REF!</v>
      </c>
      <c r="AA3" s="149" t="e">
        <f>INDEX(#REF!,MATCH(-187872572,#REF!,0),Sy_nop)</f>
        <v>#REF!</v>
      </c>
      <c r="AB3" s="150" t="s">
        <v>275</v>
      </c>
      <c r="AC3" s="160" t="e">
        <f>INDEX(#REF!,MATCH(-174564184,#REF!,0),Sy_nop)</f>
        <v>#REF!</v>
      </c>
      <c r="AD3" s="149" t="e">
        <f>INDEX(#REF!,MATCH(-187872572,#REF!,0),Sy_nop)</f>
        <v>#REF!</v>
      </c>
      <c r="AE3" s="150" t="s">
        <v>275</v>
      </c>
      <c r="AF3" s="160" t="e">
        <f>INDEX(#REF!,MATCH(-174564184,#REF!,0),Sy_nop)</f>
        <v>#REF!</v>
      </c>
      <c r="AG3" s="149" t="e">
        <f>INDEX(#REF!,MATCH(-187872572,#REF!,0),Sy_nop)</f>
        <v>#REF!</v>
      </c>
      <c r="AH3" s="150" t="s">
        <v>275</v>
      </c>
    </row>
    <row r="4" spans="1:34" ht="15" customHeight="1" thickBot="1">
      <c r="A4" s="26" t="e">
        <f>INDEX(#REF!,MATCH(-164213978,#REF!,0),Sy_nop)</f>
        <v>#REF!</v>
      </c>
      <c r="B4" s="161" t="e">
        <f>INDEX(#REF!,MATCH(155690330,#REF!,0),Sy_nop)</f>
        <v>#REF!</v>
      </c>
      <c r="C4" s="151" t="e">
        <f>INDEX(#REF!,MATCH(155690330,#REF!,0),Sy_nop)</f>
        <v>#REF!</v>
      </c>
      <c r="D4" s="152" t="e">
        <f>INDEX(#REF!,MATCH(29883458,#REF!,0),Sy_nop)</f>
        <v>#REF!</v>
      </c>
      <c r="E4" s="161" t="e">
        <f>INDEX(#REF!,MATCH(208275425,#REF!,0),Sy_nop)</f>
        <v>#REF!</v>
      </c>
      <c r="F4" s="151" t="e">
        <f>INDEX(#REF!,MATCH(208275425,#REF!,0),Sy_nop)</f>
        <v>#REF!</v>
      </c>
      <c r="G4" s="152" t="e">
        <f>INDEX(#REF!,MATCH(29883458,#REF!,0),Sy_nop)</f>
        <v>#REF!</v>
      </c>
      <c r="H4" s="161" t="e">
        <f>INDEX(#REF!,MATCH(179168049,#REF!,0),Sy_nop)</f>
        <v>#REF!</v>
      </c>
      <c r="I4" s="151" t="e">
        <f>INDEX(#REF!,MATCH(179168049,#REF!,0),Sy_nop)</f>
        <v>#REF!</v>
      </c>
      <c r="J4" s="152" t="e">
        <f>INDEX(#REF!,MATCH(29883458,#REF!,0),Sy_nop)</f>
        <v>#REF!</v>
      </c>
      <c r="K4" s="161" t="e">
        <f>INDEX(#REF!,MATCH(159560204,#REF!,0),Sy_nop)</f>
        <v>#REF!</v>
      </c>
      <c r="L4" s="151" t="e">
        <f>INDEX(#REF!,MATCH(159560204,#REF!,0),Sy_nop)</f>
        <v>#REF!</v>
      </c>
      <c r="M4" s="152" t="e">
        <f>INDEX(#REF!,MATCH(29883458,#REF!,0),Sy_nop)</f>
        <v>#REF!</v>
      </c>
      <c r="N4" s="161" t="e">
        <f>INDEX(#REF!,MATCH(6222509,#REF!,0),Sy_nop)</f>
        <v>#REF!</v>
      </c>
      <c r="O4" s="151" t="e">
        <f>INDEX(#REF!,MATCH(6222509,#REF!,0),Sy_nop)</f>
        <v>#REF!</v>
      </c>
      <c r="P4" s="152" t="e">
        <f>INDEX(#REF!,MATCH(29883458,#REF!,0),Sy_nop)</f>
        <v>#REF!</v>
      </c>
      <c r="Q4" s="161">
        <v>2014</v>
      </c>
      <c r="R4" s="151">
        <v>2014</v>
      </c>
      <c r="S4" s="152" t="e">
        <f>INDEX(#REF!,MATCH(29883458,#REF!,0),Sy_nop)</f>
        <v>#REF!</v>
      </c>
      <c r="T4" s="161" t="e">
        <f>INDEX(#REF!,MATCH(113048160,#REF!,0),Sy_nop)</f>
        <v>#REF!</v>
      </c>
      <c r="U4" s="151" t="e">
        <f>INDEX(#REF!,MATCH(113048160,#REF!,0),Sy_nop)</f>
        <v>#REF!</v>
      </c>
      <c r="V4" s="152" t="e">
        <f>INDEX(#REF!,MATCH(29883458,#REF!,0),Sy_nop)</f>
        <v>#REF!</v>
      </c>
      <c r="W4" s="161" t="e">
        <f>INDEX(#REF!,MATCH(54739964,#REF!,0),Sy_nop)</f>
        <v>#REF!</v>
      </c>
      <c r="X4" s="151" t="e">
        <f>INDEX(#REF!,MATCH(54739964,#REF!,0),Sy_nop)</f>
        <v>#REF!</v>
      </c>
      <c r="Y4" s="152" t="e">
        <f>INDEX(#REF!,MATCH(29883458,#REF!,0),Sy_nop)</f>
        <v>#REF!</v>
      </c>
      <c r="Z4" s="161" t="s">
        <v>283</v>
      </c>
      <c r="AA4" s="151" t="s">
        <v>283</v>
      </c>
      <c r="AB4" s="152" t="e">
        <f>INDEX(#REF!,MATCH(29883458,#REF!,0),Sy_nop)</f>
        <v>#REF!</v>
      </c>
      <c r="AC4" s="161" t="e">
        <f>INDEX(#REF!,MATCH(3931748,#REF!,0),Sy_nop)</f>
        <v>#REF!</v>
      </c>
      <c r="AD4" s="151" t="e">
        <f>INDEX(#REF!,MATCH(3931748,#REF!,0),Sy_nop)</f>
        <v>#REF!</v>
      </c>
      <c r="AE4" s="152" t="e">
        <f>INDEX(#REF!,MATCH(29883458,#REF!,0),Sy_nop)</f>
        <v>#REF!</v>
      </c>
      <c r="AF4" s="161" t="s">
        <v>285</v>
      </c>
      <c r="AG4" s="151" t="s">
        <v>285</v>
      </c>
      <c r="AH4" s="152" t="e">
        <f>INDEX(#REF!,MATCH(29883458,#REF!,0),Sy_nop)</f>
        <v>#REF!</v>
      </c>
    </row>
    <row r="5" spans="1:34" ht="15" customHeight="1" thickTop="1">
      <c r="A5" s="50" t="e">
        <f>INDEX(#REF!,MATCH(-137716933,#REF!,0),Sy_nop)</f>
        <v>#REF!</v>
      </c>
      <c r="B5" s="258">
        <v>52</v>
      </c>
      <c r="C5" s="241">
        <v>36</v>
      </c>
      <c r="D5" s="241">
        <v>16</v>
      </c>
      <c r="E5" s="258">
        <v>-461</v>
      </c>
      <c r="F5" s="241">
        <v>-477</v>
      </c>
      <c r="G5" s="241">
        <v>16</v>
      </c>
      <c r="H5" s="258">
        <v>513</v>
      </c>
      <c r="I5" s="241">
        <v>513</v>
      </c>
      <c r="J5" s="241">
        <v>0</v>
      </c>
      <c r="K5" s="258">
        <v>292</v>
      </c>
      <c r="L5" s="241">
        <v>292</v>
      </c>
      <c r="M5" s="241">
        <v>0</v>
      </c>
      <c r="N5" s="258">
        <v>221</v>
      </c>
      <c r="O5" s="241">
        <v>221</v>
      </c>
      <c r="P5" s="241">
        <v>0</v>
      </c>
      <c r="Q5" s="258">
        <v>527</v>
      </c>
      <c r="R5" s="241">
        <v>613</v>
      </c>
      <c r="S5" s="241">
        <v>-86</v>
      </c>
      <c r="T5" s="258">
        <v>-448</v>
      </c>
      <c r="U5" s="241">
        <v>-344</v>
      </c>
      <c r="V5" s="241">
        <v>-105</v>
      </c>
      <c r="W5" s="258">
        <v>975</v>
      </c>
      <c r="X5" s="241">
        <v>957</v>
      </c>
      <c r="Y5" s="241">
        <v>18</v>
      </c>
      <c r="Z5" s="258">
        <v>345</v>
      </c>
      <c r="AA5" s="241">
        <v>344</v>
      </c>
      <c r="AB5" s="241">
        <v>0</v>
      </c>
      <c r="AC5" s="258">
        <v>631</v>
      </c>
      <c r="AD5" s="241">
        <v>613</v>
      </c>
      <c r="AE5" s="241">
        <v>18</v>
      </c>
      <c r="AF5" s="258">
        <v>193</v>
      </c>
      <c r="AG5" s="241">
        <v>175</v>
      </c>
      <c r="AH5" s="241">
        <v>18</v>
      </c>
    </row>
    <row r="6" spans="1:34" ht="15" customHeight="1">
      <c r="A6" s="32" t="e">
        <f>INDEX(#REF!,MATCH(-121947992,#REF!,0),Sy_nop)</f>
        <v>#REF!</v>
      </c>
      <c r="B6" s="142">
        <v>2991</v>
      </c>
      <c r="C6" s="14">
        <v>3007</v>
      </c>
      <c r="D6" s="14">
        <v>-17</v>
      </c>
      <c r="E6" s="142">
        <v>1631</v>
      </c>
      <c r="F6" s="14">
        <v>1647</v>
      </c>
      <c r="G6" s="14">
        <v>-17</v>
      </c>
      <c r="H6" s="142">
        <v>1360</v>
      </c>
      <c r="I6" s="14">
        <v>1360</v>
      </c>
      <c r="J6" s="14">
        <v>0</v>
      </c>
      <c r="K6" s="142">
        <v>834</v>
      </c>
      <c r="L6" s="14">
        <v>834</v>
      </c>
      <c r="M6" s="14">
        <v>0</v>
      </c>
      <c r="N6" s="142">
        <v>526</v>
      </c>
      <c r="O6" s="14">
        <v>526</v>
      </c>
      <c r="P6" s="14">
        <v>0</v>
      </c>
      <c r="Q6" s="142">
        <v>3165</v>
      </c>
      <c r="R6" s="14">
        <v>3056</v>
      </c>
      <c r="S6" s="14">
        <v>109</v>
      </c>
      <c r="T6" s="142">
        <v>1278</v>
      </c>
      <c r="U6" s="14">
        <v>1169</v>
      </c>
      <c r="V6" s="14">
        <v>109</v>
      </c>
      <c r="W6" s="142">
        <v>1887</v>
      </c>
      <c r="X6" s="14">
        <v>1887</v>
      </c>
      <c r="Y6" s="14">
        <v>0</v>
      </c>
      <c r="Z6" s="142">
        <v>642</v>
      </c>
      <c r="AA6" s="14">
        <v>641</v>
      </c>
      <c r="AB6" s="14">
        <v>0</v>
      </c>
      <c r="AC6" s="142">
        <v>1245</v>
      </c>
      <c r="AD6" s="14">
        <v>1245</v>
      </c>
      <c r="AE6" s="14">
        <v>0</v>
      </c>
      <c r="AF6" s="142">
        <v>703</v>
      </c>
      <c r="AG6" s="14">
        <v>703</v>
      </c>
      <c r="AH6" s="14">
        <v>0</v>
      </c>
    </row>
    <row r="7" spans="1:34" ht="15" customHeight="1">
      <c r="A7" s="27" t="e">
        <f>INDEX(#REF!,MATCH(187028372,#REF!,0),Sy_nop)</f>
        <v>#REF!</v>
      </c>
      <c r="B7" s="142">
        <v>-386</v>
      </c>
      <c r="C7" s="14">
        <v>-387</v>
      </c>
      <c r="D7" s="14">
        <v>1</v>
      </c>
      <c r="E7" s="142">
        <v>-301</v>
      </c>
      <c r="F7" s="14">
        <v>-302</v>
      </c>
      <c r="G7" s="14">
        <v>1</v>
      </c>
      <c r="H7" s="142">
        <v>-85</v>
      </c>
      <c r="I7" s="14">
        <v>-85</v>
      </c>
      <c r="J7" s="14">
        <v>0</v>
      </c>
      <c r="K7" s="142">
        <v>-25</v>
      </c>
      <c r="L7" s="14">
        <v>-25</v>
      </c>
      <c r="M7" s="14">
        <v>0</v>
      </c>
      <c r="N7" s="142">
        <v>-60</v>
      </c>
      <c r="O7" s="14">
        <v>-60</v>
      </c>
      <c r="P7" s="14">
        <v>0</v>
      </c>
      <c r="Q7" s="142">
        <v>-250</v>
      </c>
      <c r="R7" s="14">
        <v>-251</v>
      </c>
      <c r="S7" s="14">
        <v>1</v>
      </c>
      <c r="T7" s="142">
        <v>-217</v>
      </c>
      <c r="U7" s="14">
        <v>-214</v>
      </c>
      <c r="V7" s="14">
        <v>-4</v>
      </c>
      <c r="W7" s="142">
        <v>-32</v>
      </c>
      <c r="X7" s="14">
        <v>-37</v>
      </c>
      <c r="Y7" s="14">
        <v>5</v>
      </c>
      <c r="Z7" s="142">
        <v>35</v>
      </c>
      <c r="AA7" s="14">
        <v>35</v>
      </c>
      <c r="AB7" s="14">
        <v>0</v>
      </c>
      <c r="AC7" s="142">
        <v>-67</v>
      </c>
      <c r="AD7" s="14">
        <v>-72</v>
      </c>
      <c r="AE7" s="14">
        <v>5</v>
      </c>
      <c r="AF7" s="142">
        <v>-71</v>
      </c>
      <c r="AG7" s="14">
        <v>-75</v>
      </c>
      <c r="AH7" s="14">
        <v>5</v>
      </c>
    </row>
    <row r="8" spans="1:34" ht="15" hidden="1" customHeight="1" outlineLevel="1">
      <c r="A8" s="27" t="e">
        <f>INDEX(#REF!,MATCH(119722778,#REF!,0),Sy_nop)</f>
        <v>#REF!</v>
      </c>
      <c r="B8" s="142">
        <v>-18</v>
      </c>
      <c r="C8" s="14">
        <v>-18</v>
      </c>
      <c r="D8" s="14">
        <v>0</v>
      </c>
      <c r="E8" s="142">
        <v>-9</v>
      </c>
      <c r="F8" s="14">
        <v>-9</v>
      </c>
      <c r="G8" s="14">
        <v>0</v>
      </c>
      <c r="H8" s="142">
        <v>-9</v>
      </c>
      <c r="I8" s="14">
        <v>-9</v>
      </c>
      <c r="J8" s="14">
        <v>0</v>
      </c>
      <c r="K8" s="142">
        <v>-9</v>
      </c>
      <c r="L8" s="14">
        <v>-9</v>
      </c>
      <c r="M8" s="14">
        <v>0</v>
      </c>
      <c r="N8" s="142">
        <v>0</v>
      </c>
      <c r="O8" s="14">
        <v>0</v>
      </c>
      <c r="P8" s="14">
        <v>0</v>
      </c>
      <c r="Q8" s="142">
        <v>6</v>
      </c>
      <c r="R8" s="14">
        <v>6</v>
      </c>
      <c r="S8" s="14">
        <v>0</v>
      </c>
      <c r="T8" s="142">
        <v>3</v>
      </c>
      <c r="U8" s="14">
        <v>3</v>
      </c>
      <c r="V8" s="14">
        <v>0</v>
      </c>
      <c r="W8" s="142">
        <v>3</v>
      </c>
      <c r="X8" s="14">
        <v>3</v>
      </c>
      <c r="Y8" s="14">
        <v>0</v>
      </c>
      <c r="Z8" s="142">
        <v>2</v>
      </c>
      <c r="AA8" s="14">
        <v>2</v>
      </c>
      <c r="AB8" s="14">
        <v>0</v>
      </c>
      <c r="AC8" s="142">
        <v>1</v>
      </c>
      <c r="AD8" s="14">
        <v>1</v>
      </c>
      <c r="AE8" s="14">
        <v>0</v>
      </c>
      <c r="AF8" s="142">
        <v>6</v>
      </c>
      <c r="AG8" s="14">
        <v>6</v>
      </c>
      <c r="AH8" s="14">
        <v>0</v>
      </c>
    </row>
    <row r="9" spans="1:34" ht="15" hidden="1" customHeight="1" outlineLevel="1">
      <c r="A9" s="27" t="e">
        <f>INDEX(#REF!,MATCH(149739645,#REF!,0),Sy_nop)</f>
        <v>#REF!</v>
      </c>
      <c r="B9" s="142">
        <v>-3</v>
      </c>
      <c r="C9" s="14">
        <v>-3</v>
      </c>
      <c r="D9" s="14">
        <v>0</v>
      </c>
      <c r="E9" s="142">
        <v>-11</v>
      </c>
      <c r="F9" s="14">
        <v>-11</v>
      </c>
      <c r="G9" s="14">
        <v>0</v>
      </c>
      <c r="H9" s="142">
        <v>7</v>
      </c>
      <c r="I9" s="14">
        <v>7</v>
      </c>
      <c r="J9" s="14">
        <v>0</v>
      </c>
      <c r="K9" s="142">
        <v>-11</v>
      </c>
      <c r="L9" s="14">
        <v>-11</v>
      </c>
      <c r="M9" s="14">
        <v>0</v>
      </c>
      <c r="N9" s="142">
        <v>18</v>
      </c>
      <c r="O9" s="14">
        <v>18</v>
      </c>
      <c r="P9" s="14">
        <v>0</v>
      </c>
      <c r="Q9" s="142">
        <v>-14</v>
      </c>
      <c r="R9" s="14">
        <v>-14</v>
      </c>
      <c r="S9" s="14">
        <v>0</v>
      </c>
      <c r="T9" s="142">
        <v>-11</v>
      </c>
      <c r="U9" s="14">
        <v>-11</v>
      </c>
      <c r="V9" s="14">
        <v>0</v>
      </c>
      <c r="W9" s="142">
        <v>-2</v>
      </c>
      <c r="X9" s="14">
        <v>-2</v>
      </c>
      <c r="Y9" s="14">
        <v>0</v>
      </c>
      <c r="Z9" s="142">
        <v>-2</v>
      </c>
      <c r="AA9" s="14">
        <v>-2</v>
      </c>
      <c r="AB9" s="14">
        <v>0</v>
      </c>
      <c r="AC9" s="142">
        <v>0</v>
      </c>
      <c r="AD9" s="14">
        <v>0</v>
      </c>
      <c r="AE9" s="14">
        <v>0</v>
      </c>
      <c r="AF9" s="142">
        <v>-11</v>
      </c>
      <c r="AG9" s="14">
        <v>-11</v>
      </c>
      <c r="AH9" s="14">
        <v>0</v>
      </c>
    </row>
    <row r="10" spans="1:34" ht="15" customHeight="1" collapsed="1">
      <c r="A10" s="28" t="e">
        <f>INDEX(#REF!,MATCH(120239167,#REF!,0),Sy_nop)</f>
        <v>#REF!</v>
      </c>
      <c r="B10" s="142">
        <v>-57</v>
      </c>
      <c r="C10" s="14">
        <v>-57</v>
      </c>
      <c r="D10" s="14">
        <v>0</v>
      </c>
      <c r="E10" s="142">
        <v>54</v>
      </c>
      <c r="F10" s="14">
        <v>54</v>
      </c>
      <c r="G10" s="14">
        <v>0</v>
      </c>
      <c r="H10" s="142">
        <v>-111</v>
      </c>
      <c r="I10" s="14">
        <v>-111</v>
      </c>
      <c r="J10" s="14">
        <v>0</v>
      </c>
      <c r="K10" s="142">
        <v>-85</v>
      </c>
      <c r="L10" s="14">
        <v>-85</v>
      </c>
      <c r="M10" s="14">
        <v>0</v>
      </c>
      <c r="N10" s="142">
        <v>-25</v>
      </c>
      <c r="O10" s="14">
        <v>-25</v>
      </c>
      <c r="P10" s="14">
        <v>0</v>
      </c>
      <c r="Q10" s="142">
        <v>-173</v>
      </c>
      <c r="R10" s="14">
        <v>-150</v>
      </c>
      <c r="S10" s="14">
        <v>-24</v>
      </c>
      <c r="T10" s="142">
        <v>24</v>
      </c>
      <c r="U10" s="14">
        <v>24</v>
      </c>
      <c r="V10" s="14">
        <v>0</v>
      </c>
      <c r="W10" s="142">
        <v>-197</v>
      </c>
      <c r="X10" s="14">
        <v>-174</v>
      </c>
      <c r="Y10" s="14">
        <v>-23</v>
      </c>
      <c r="Z10" s="142">
        <v>-82</v>
      </c>
      <c r="AA10" s="14">
        <v>-81</v>
      </c>
      <c r="AB10" s="14">
        <v>0</v>
      </c>
      <c r="AC10" s="142">
        <v>-115</v>
      </c>
      <c r="AD10" s="14">
        <v>-92</v>
      </c>
      <c r="AE10" s="14">
        <v>-23</v>
      </c>
      <c r="AF10" s="142">
        <v>-141</v>
      </c>
      <c r="AG10" s="14">
        <v>-118</v>
      </c>
      <c r="AH10" s="14">
        <v>-23</v>
      </c>
    </row>
    <row r="11" spans="1:34" ht="15" customHeight="1">
      <c r="A11" s="29" t="e">
        <f>INDEX(#REF!,MATCH(87508851,#REF!,0),Sy_nop)</f>
        <v>#REF!</v>
      </c>
      <c r="B11" s="238">
        <v>2579</v>
      </c>
      <c r="C11" s="242">
        <v>2579</v>
      </c>
      <c r="D11" s="242">
        <v>0</v>
      </c>
      <c r="E11" s="238">
        <v>903</v>
      </c>
      <c r="F11" s="242">
        <v>903</v>
      </c>
      <c r="G11" s="242">
        <v>0</v>
      </c>
      <c r="H11" s="238">
        <v>1676</v>
      </c>
      <c r="I11" s="242">
        <v>1676</v>
      </c>
      <c r="J11" s="242">
        <v>0</v>
      </c>
      <c r="K11" s="238">
        <v>995</v>
      </c>
      <c r="L11" s="242">
        <v>995</v>
      </c>
      <c r="M11" s="242">
        <v>0</v>
      </c>
      <c r="N11" s="238">
        <v>680</v>
      </c>
      <c r="O11" s="242">
        <v>680</v>
      </c>
      <c r="P11" s="242">
        <v>0</v>
      </c>
      <c r="Q11" s="238">
        <v>3262</v>
      </c>
      <c r="R11" s="242">
        <v>3262</v>
      </c>
      <c r="S11" s="242">
        <v>0</v>
      </c>
      <c r="T11" s="238">
        <v>628</v>
      </c>
      <c r="U11" s="242">
        <v>628</v>
      </c>
      <c r="V11" s="242">
        <v>0</v>
      </c>
      <c r="W11" s="238">
        <v>2633</v>
      </c>
      <c r="X11" s="242">
        <v>2633</v>
      </c>
      <c r="Y11" s="242">
        <v>0</v>
      </c>
      <c r="Z11" s="238">
        <v>939</v>
      </c>
      <c r="AA11" s="242">
        <v>939</v>
      </c>
      <c r="AB11" s="242">
        <v>0</v>
      </c>
      <c r="AC11" s="238">
        <v>1695</v>
      </c>
      <c r="AD11" s="242">
        <v>1695</v>
      </c>
      <c r="AE11" s="242">
        <v>0</v>
      </c>
      <c r="AF11" s="238">
        <v>679</v>
      </c>
      <c r="AG11" s="242">
        <v>679</v>
      </c>
      <c r="AH11" s="242">
        <v>0</v>
      </c>
    </row>
    <row r="12" spans="1:34" ht="15" hidden="1" customHeight="1" outlineLevel="1">
      <c r="A12" s="27" t="e">
        <f>INDEX(#REF!,MATCH(-161626222,#REF!,0),Sy_nop)</f>
        <v>#REF!</v>
      </c>
      <c r="B12" s="142">
        <v>106</v>
      </c>
      <c r="C12" s="14">
        <v>106</v>
      </c>
      <c r="D12" s="14">
        <v>0</v>
      </c>
      <c r="E12" s="142">
        <v>169</v>
      </c>
      <c r="F12" s="14">
        <v>169</v>
      </c>
      <c r="G12" s="14">
        <v>0</v>
      </c>
      <c r="H12" s="142">
        <v>-63</v>
      </c>
      <c r="I12" s="14">
        <v>-63</v>
      </c>
      <c r="J12" s="14">
        <v>0</v>
      </c>
      <c r="K12" s="142">
        <v>-165</v>
      </c>
      <c r="L12" s="14">
        <v>-165</v>
      </c>
      <c r="M12" s="14">
        <v>0</v>
      </c>
      <c r="N12" s="142">
        <v>102</v>
      </c>
      <c r="O12" s="14">
        <v>102</v>
      </c>
      <c r="P12" s="14">
        <v>0</v>
      </c>
      <c r="Q12" s="142">
        <v>271</v>
      </c>
      <c r="R12" s="14">
        <v>271</v>
      </c>
      <c r="S12" s="14">
        <v>0</v>
      </c>
      <c r="T12" s="142">
        <v>243</v>
      </c>
      <c r="U12" s="14">
        <v>243</v>
      </c>
      <c r="V12" s="14">
        <v>0</v>
      </c>
      <c r="W12" s="142">
        <v>28</v>
      </c>
      <c r="X12" s="14">
        <v>28</v>
      </c>
      <c r="Y12" s="14">
        <v>0</v>
      </c>
      <c r="Z12" s="142">
        <v>244</v>
      </c>
      <c r="AA12" s="14">
        <v>244</v>
      </c>
      <c r="AB12" s="14">
        <v>0</v>
      </c>
      <c r="AC12" s="142">
        <v>-215</v>
      </c>
      <c r="AD12" s="14">
        <v>-215</v>
      </c>
      <c r="AE12" s="14">
        <v>0</v>
      </c>
      <c r="AF12" s="142">
        <v>-511</v>
      </c>
      <c r="AG12" s="14">
        <v>-511</v>
      </c>
      <c r="AH12" s="14">
        <v>0</v>
      </c>
    </row>
    <row r="13" spans="1:34" ht="15" hidden="1" customHeight="1" outlineLevel="1">
      <c r="A13" s="27" t="e">
        <f>INDEX(#REF!,MATCH(-70763439,#REF!,0),Sy_nop)</f>
        <v>#REF!</v>
      </c>
      <c r="B13" s="142">
        <v>-164</v>
      </c>
      <c r="C13" s="14">
        <v>-164</v>
      </c>
      <c r="D13" s="14">
        <v>0</v>
      </c>
      <c r="E13" s="142">
        <v>-148</v>
      </c>
      <c r="F13" s="14">
        <v>-148</v>
      </c>
      <c r="G13" s="14">
        <v>0</v>
      </c>
      <c r="H13" s="142">
        <v>-16</v>
      </c>
      <c r="I13" s="14">
        <v>-16</v>
      </c>
      <c r="J13" s="14">
        <v>0</v>
      </c>
      <c r="K13" s="142">
        <v>275</v>
      </c>
      <c r="L13" s="14">
        <v>275</v>
      </c>
      <c r="M13" s="14">
        <v>0</v>
      </c>
      <c r="N13" s="142">
        <v>-290</v>
      </c>
      <c r="O13" s="14">
        <v>-290</v>
      </c>
      <c r="P13" s="14">
        <v>0</v>
      </c>
      <c r="Q13" s="142">
        <v>184</v>
      </c>
      <c r="R13" s="14">
        <v>184</v>
      </c>
      <c r="S13" s="14">
        <v>0</v>
      </c>
      <c r="T13" s="142">
        <v>336</v>
      </c>
      <c r="U13" s="14">
        <v>336</v>
      </c>
      <c r="V13" s="14">
        <v>0</v>
      </c>
      <c r="W13" s="142">
        <v>-152</v>
      </c>
      <c r="X13" s="14">
        <v>-152</v>
      </c>
      <c r="Y13" s="14">
        <v>0</v>
      </c>
      <c r="Z13" s="142">
        <v>11</v>
      </c>
      <c r="AA13" s="14">
        <v>11</v>
      </c>
      <c r="AB13" s="14">
        <v>0</v>
      </c>
      <c r="AC13" s="142">
        <v>-163</v>
      </c>
      <c r="AD13" s="14">
        <v>-163</v>
      </c>
      <c r="AE13" s="14">
        <v>0</v>
      </c>
      <c r="AF13" s="142">
        <v>179</v>
      </c>
      <c r="AG13" s="14">
        <v>179</v>
      </c>
      <c r="AH13" s="14">
        <v>0</v>
      </c>
    </row>
    <row r="14" spans="1:34" ht="15" hidden="1" customHeight="1" outlineLevel="1">
      <c r="A14" s="27" t="e">
        <f>INDEX(#REF!,MATCH(-179972476,#REF!,0),Sy_nop)</f>
        <v>#REF!</v>
      </c>
      <c r="B14" s="142">
        <v>-9</v>
      </c>
      <c r="C14" s="14">
        <v>-9</v>
      </c>
      <c r="D14" s="14">
        <v>0</v>
      </c>
      <c r="E14" s="142">
        <v>222</v>
      </c>
      <c r="F14" s="14">
        <v>222</v>
      </c>
      <c r="G14" s="14">
        <v>0</v>
      </c>
      <c r="H14" s="142">
        <v>-230</v>
      </c>
      <c r="I14" s="14">
        <v>-230</v>
      </c>
      <c r="J14" s="14">
        <v>0</v>
      </c>
      <c r="K14" s="142">
        <v>-225</v>
      </c>
      <c r="L14" s="14">
        <v>-225</v>
      </c>
      <c r="M14" s="14">
        <v>0</v>
      </c>
      <c r="N14" s="142">
        <v>-5</v>
      </c>
      <c r="O14" s="14">
        <v>-5</v>
      </c>
      <c r="P14" s="14">
        <v>0</v>
      </c>
      <c r="Q14" s="142">
        <v>-135</v>
      </c>
      <c r="R14" s="14">
        <v>-135</v>
      </c>
      <c r="S14" s="14">
        <v>0</v>
      </c>
      <c r="T14" s="142">
        <v>93</v>
      </c>
      <c r="U14" s="14">
        <v>93</v>
      </c>
      <c r="V14" s="14">
        <v>0</v>
      </c>
      <c r="W14" s="142">
        <v>-228</v>
      </c>
      <c r="X14" s="14">
        <v>-228</v>
      </c>
      <c r="Y14" s="14">
        <v>0</v>
      </c>
      <c r="Z14" s="142">
        <v>-503</v>
      </c>
      <c r="AA14" s="14">
        <v>-503</v>
      </c>
      <c r="AB14" s="14">
        <v>0</v>
      </c>
      <c r="AC14" s="142">
        <v>275</v>
      </c>
      <c r="AD14" s="14">
        <v>275</v>
      </c>
      <c r="AE14" s="14">
        <v>0</v>
      </c>
      <c r="AF14" s="142">
        <v>278</v>
      </c>
      <c r="AG14" s="14">
        <v>278</v>
      </c>
      <c r="AH14" s="14">
        <v>0</v>
      </c>
    </row>
    <row r="15" spans="1:34" ht="15" hidden="1" customHeight="1" outlineLevel="1">
      <c r="A15" s="28" t="e">
        <f>INDEX(#REF!,MATCH(147866531,#REF!,0),Sy_nop)</f>
        <v>#REF!</v>
      </c>
      <c r="B15" s="142">
        <v>-113</v>
      </c>
      <c r="C15" s="14">
        <v>-113</v>
      </c>
      <c r="D15" s="14">
        <v>0</v>
      </c>
      <c r="E15" s="142">
        <v>-11</v>
      </c>
      <c r="F15" s="14">
        <v>-11</v>
      </c>
      <c r="G15" s="14">
        <v>0</v>
      </c>
      <c r="H15" s="142">
        <v>-102</v>
      </c>
      <c r="I15" s="14">
        <v>-102</v>
      </c>
      <c r="J15" s="14">
        <v>0</v>
      </c>
      <c r="K15" s="142">
        <v>-21</v>
      </c>
      <c r="L15" s="14">
        <v>-21</v>
      </c>
      <c r="M15" s="14">
        <v>0</v>
      </c>
      <c r="N15" s="142">
        <v>-81</v>
      </c>
      <c r="O15" s="14">
        <v>-81</v>
      </c>
      <c r="P15" s="14">
        <v>0</v>
      </c>
      <c r="Q15" s="142">
        <v>85</v>
      </c>
      <c r="R15" s="14">
        <v>85</v>
      </c>
      <c r="S15" s="14">
        <v>0</v>
      </c>
      <c r="T15" s="142">
        <v>145</v>
      </c>
      <c r="U15" s="14">
        <v>145</v>
      </c>
      <c r="V15" s="14">
        <v>0</v>
      </c>
      <c r="W15" s="142">
        <v>-60</v>
      </c>
      <c r="X15" s="14">
        <v>-60</v>
      </c>
      <c r="Y15" s="14">
        <v>0</v>
      </c>
      <c r="Z15" s="142">
        <v>-56</v>
      </c>
      <c r="AA15" s="14">
        <v>-56</v>
      </c>
      <c r="AB15" s="14">
        <v>0</v>
      </c>
      <c r="AC15" s="142">
        <v>-5</v>
      </c>
      <c r="AD15" s="14">
        <v>-5</v>
      </c>
      <c r="AE15" s="14">
        <v>0</v>
      </c>
      <c r="AF15" s="142">
        <v>54</v>
      </c>
      <c r="AG15" s="14">
        <v>54</v>
      </c>
      <c r="AH15" s="14">
        <v>0</v>
      </c>
    </row>
    <row r="16" spans="1:34" ht="15" customHeight="1" collapsed="1">
      <c r="A16" s="29" t="e">
        <f>INDEX(#REF!,MATCH(-156010514,#REF!,0),Sy_nop)</f>
        <v>#REF!</v>
      </c>
      <c r="B16" s="238">
        <v>2400</v>
      </c>
      <c r="C16" s="242">
        <v>2400</v>
      </c>
      <c r="D16" s="242">
        <v>0</v>
      </c>
      <c r="E16" s="238">
        <v>1135</v>
      </c>
      <c r="F16" s="242">
        <v>1135</v>
      </c>
      <c r="G16" s="242">
        <v>0</v>
      </c>
      <c r="H16" s="238">
        <v>1264</v>
      </c>
      <c r="I16" s="242">
        <v>1264</v>
      </c>
      <c r="J16" s="242">
        <v>0</v>
      </c>
      <c r="K16" s="238">
        <v>858</v>
      </c>
      <c r="L16" s="242">
        <v>858</v>
      </c>
      <c r="M16" s="242">
        <v>0</v>
      </c>
      <c r="N16" s="238">
        <v>406</v>
      </c>
      <c r="O16" s="242">
        <v>406</v>
      </c>
      <c r="P16" s="242">
        <v>0</v>
      </c>
      <c r="Q16" s="238">
        <v>3666</v>
      </c>
      <c r="R16" s="242">
        <v>3666</v>
      </c>
      <c r="S16" s="242">
        <v>0</v>
      </c>
      <c r="T16" s="238">
        <v>1445</v>
      </c>
      <c r="U16" s="242">
        <v>1445</v>
      </c>
      <c r="V16" s="242">
        <v>0</v>
      </c>
      <c r="W16" s="238">
        <v>2221</v>
      </c>
      <c r="X16" s="242">
        <v>2221</v>
      </c>
      <c r="Y16" s="242">
        <v>0</v>
      </c>
      <c r="Z16" s="238">
        <v>634</v>
      </c>
      <c r="AA16" s="242">
        <v>634</v>
      </c>
      <c r="AB16" s="242">
        <v>0</v>
      </c>
      <c r="AC16" s="238">
        <v>1587</v>
      </c>
      <c r="AD16" s="242">
        <v>1587</v>
      </c>
      <c r="AE16" s="242">
        <v>0</v>
      </c>
      <c r="AF16" s="238">
        <v>680</v>
      </c>
      <c r="AG16" s="242">
        <v>680</v>
      </c>
      <c r="AH16" s="242">
        <v>0</v>
      </c>
    </row>
    <row r="17" spans="1:34" ht="15" hidden="1" customHeight="1" outlineLevel="1">
      <c r="A17" s="27" t="e">
        <f>INDEX(#REF!,MATCH(-73857142,#REF!,0),Sy_nop)</f>
        <v>#REF!</v>
      </c>
      <c r="B17" s="142"/>
      <c r="C17" s="14"/>
      <c r="D17" s="14"/>
      <c r="E17" s="142"/>
      <c r="F17" s="14"/>
      <c r="G17" s="14"/>
      <c r="H17" s="142"/>
      <c r="I17" s="14"/>
      <c r="J17" s="14"/>
      <c r="K17" s="142"/>
      <c r="L17" s="14"/>
      <c r="M17" s="14"/>
      <c r="N17" s="142"/>
      <c r="O17" s="14"/>
      <c r="P17" s="14"/>
      <c r="Q17" s="142"/>
      <c r="R17" s="14"/>
      <c r="S17" s="14"/>
      <c r="T17" s="142"/>
      <c r="U17" s="14"/>
      <c r="V17" s="14"/>
      <c r="W17" s="142"/>
      <c r="X17" s="14"/>
      <c r="Y17" s="14"/>
      <c r="Z17" s="142"/>
      <c r="AA17" s="14"/>
      <c r="AB17" s="14"/>
      <c r="AC17" s="142"/>
      <c r="AD17" s="14"/>
      <c r="AE17" s="14"/>
      <c r="AF17" s="142"/>
      <c r="AG17" s="14"/>
      <c r="AH17" s="14"/>
    </row>
    <row r="18" spans="1:34" ht="15" hidden="1" customHeight="1" outlineLevel="1">
      <c r="A18" s="27" t="e">
        <f>INDEX(#REF!,MATCH(137200543,#REF!,0),Sy_nop)</f>
        <v>#REF!</v>
      </c>
      <c r="B18" s="142">
        <v>-2384</v>
      </c>
      <c r="C18" s="14">
        <v>-2384</v>
      </c>
      <c r="D18" s="14">
        <v>0</v>
      </c>
      <c r="E18" s="142">
        <v>-689</v>
      </c>
      <c r="F18" s="14">
        <v>-689</v>
      </c>
      <c r="G18" s="14">
        <v>0</v>
      </c>
      <c r="H18" s="142">
        <v>-1695</v>
      </c>
      <c r="I18" s="14">
        <v>-1695</v>
      </c>
      <c r="J18" s="14">
        <v>0</v>
      </c>
      <c r="K18" s="142">
        <v>-790</v>
      </c>
      <c r="L18" s="14">
        <v>-790</v>
      </c>
      <c r="M18" s="14">
        <v>0</v>
      </c>
      <c r="N18" s="142">
        <v>-904</v>
      </c>
      <c r="O18" s="14">
        <v>-904</v>
      </c>
      <c r="P18" s="14">
        <v>0</v>
      </c>
      <c r="Q18" s="142">
        <v>-3834</v>
      </c>
      <c r="R18" s="14">
        <v>-3834</v>
      </c>
      <c r="S18" s="14">
        <v>0</v>
      </c>
      <c r="T18" s="142">
        <v>-968</v>
      </c>
      <c r="U18" s="14">
        <v>-968</v>
      </c>
      <c r="V18" s="14">
        <v>0</v>
      </c>
      <c r="W18" s="142">
        <v>-2866</v>
      </c>
      <c r="X18" s="14">
        <v>-2866</v>
      </c>
      <c r="Y18" s="14">
        <v>0</v>
      </c>
      <c r="Z18" s="142">
        <v>-1108</v>
      </c>
      <c r="AA18" s="14">
        <v>-1108</v>
      </c>
      <c r="AB18" s="14">
        <v>0</v>
      </c>
      <c r="AC18" s="142">
        <v>-1758</v>
      </c>
      <c r="AD18" s="14">
        <v>-1758</v>
      </c>
      <c r="AE18" s="14">
        <v>0</v>
      </c>
      <c r="AF18" s="142">
        <v>-796</v>
      </c>
      <c r="AG18" s="14">
        <v>-796</v>
      </c>
      <c r="AH18" s="14">
        <v>0</v>
      </c>
    </row>
    <row r="19" spans="1:34" ht="15" hidden="1" customHeight="1" outlineLevel="1">
      <c r="A19" s="27" t="e">
        <f>INDEX(#REF!,MATCH(-2209103,#REF!,0),Sy_nop)</f>
        <v>#REF!</v>
      </c>
      <c r="B19" s="142">
        <v>-55</v>
      </c>
      <c r="C19" s="14">
        <v>-55</v>
      </c>
      <c r="D19" s="14">
        <v>0</v>
      </c>
      <c r="E19" s="142">
        <v>2</v>
      </c>
      <c r="F19" s="14">
        <v>2</v>
      </c>
      <c r="G19" s="14">
        <v>0</v>
      </c>
      <c r="H19" s="142">
        <v>-56</v>
      </c>
      <c r="I19" s="14">
        <v>-56</v>
      </c>
      <c r="J19" s="14">
        <v>0</v>
      </c>
      <c r="K19" s="142">
        <v>-25</v>
      </c>
      <c r="L19" s="14">
        <v>-25</v>
      </c>
      <c r="M19" s="14">
        <v>0</v>
      </c>
      <c r="N19" s="142">
        <v>-31</v>
      </c>
      <c r="O19" s="14">
        <v>-31</v>
      </c>
      <c r="P19" s="14">
        <v>0</v>
      </c>
      <c r="Q19" s="142">
        <v>-76</v>
      </c>
      <c r="R19" s="14">
        <v>-76</v>
      </c>
      <c r="S19" s="14">
        <v>0</v>
      </c>
      <c r="T19" s="142">
        <v>-31</v>
      </c>
      <c r="U19" s="14">
        <v>-31</v>
      </c>
      <c r="V19" s="14">
        <v>0</v>
      </c>
      <c r="W19" s="142">
        <v>-46</v>
      </c>
      <c r="X19" s="14">
        <v>-46</v>
      </c>
      <c r="Y19" s="14">
        <v>0</v>
      </c>
      <c r="Z19" s="142">
        <v>-16</v>
      </c>
      <c r="AA19" s="14">
        <v>-16</v>
      </c>
      <c r="AB19" s="14">
        <v>0</v>
      </c>
      <c r="AC19" s="142">
        <v>-29</v>
      </c>
      <c r="AD19" s="14">
        <v>-29</v>
      </c>
      <c r="AE19" s="14">
        <v>0</v>
      </c>
      <c r="AF19" s="142">
        <v>-26</v>
      </c>
      <c r="AG19" s="14">
        <v>-26</v>
      </c>
      <c r="AH19" s="14">
        <v>0</v>
      </c>
    </row>
    <row r="20" spans="1:34" ht="15" hidden="1" customHeight="1" outlineLevel="1">
      <c r="A20" s="27" t="e">
        <f>INDEX(#REF!,MATCH(-157772012,#REF!,0),Sy_nop)</f>
        <v>#REF!</v>
      </c>
      <c r="B20" s="142"/>
      <c r="C20" s="14"/>
      <c r="D20" s="14"/>
      <c r="E20" s="142"/>
      <c r="F20" s="14"/>
      <c r="G20" s="14"/>
      <c r="H20" s="142"/>
      <c r="I20" s="14"/>
      <c r="J20" s="14"/>
      <c r="K20" s="142"/>
      <c r="L20" s="14"/>
      <c r="M20" s="14"/>
      <c r="N20" s="142"/>
      <c r="O20" s="14"/>
      <c r="P20" s="14"/>
      <c r="Q20" s="142"/>
      <c r="R20" s="14"/>
      <c r="S20" s="14"/>
      <c r="T20" s="142"/>
      <c r="U20" s="14"/>
      <c r="V20" s="14"/>
      <c r="W20" s="142"/>
      <c r="X20" s="14"/>
      <c r="Y20" s="14"/>
      <c r="Z20" s="142"/>
      <c r="AA20" s="14"/>
      <c r="AB20" s="14"/>
      <c r="AC20" s="142"/>
      <c r="AD20" s="14"/>
      <c r="AE20" s="14"/>
      <c r="AF20" s="142"/>
      <c r="AG20" s="14"/>
      <c r="AH20" s="14"/>
    </row>
    <row r="21" spans="1:34" ht="15" hidden="1" customHeight="1" outlineLevel="1">
      <c r="A21" s="69" t="e">
        <f>INDEX(#REF!,MATCH(-157556048,#REF!,0),Sy_nop)</f>
        <v>#REF!</v>
      </c>
      <c r="B21" s="144">
        <v>142</v>
      </c>
      <c r="C21" s="88">
        <v>142</v>
      </c>
      <c r="D21" s="88">
        <v>0</v>
      </c>
      <c r="E21" s="144">
        <v>76</v>
      </c>
      <c r="F21" s="88">
        <v>76</v>
      </c>
      <c r="G21" s="88">
        <v>0</v>
      </c>
      <c r="H21" s="144">
        <v>66</v>
      </c>
      <c r="I21" s="88">
        <v>66</v>
      </c>
      <c r="J21" s="88">
        <v>0</v>
      </c>
      <c r="K21" s="144">
        <v>54</v>
      </c>
      <c r="L21" s="88">
        <v>54</v>
      </c>
      <c r="M21" s="88">
        <v>0</v>
      </c>
      <c r="N21" s="144">
        <v>12</v>
      </c>
      <c r="O21" s="88">
        <v>12</v>
      </c>
      <c r="P21" s="88">
        <v>0</v>
      </c>
      <c r="Q21" s="144">
        <v>175</v>
      </c>
      <c r="R21" s="88">
        <v>175</v>
      </c>
      <c r="S21" s="88">
        <v>0</v>
      </c>
      <c r="T21" s="144">
        <v>51</v>
      </c>
      <c r="U21" s="88">
        <v>51</v>
      </c>
      <c r="V21" s="88">
        <v>0</v>
      </c>
      <c r="W21" s="144">
        <v>124</v>
      </c>
      <c r="X21" s="88">
        <v>124</v>
      </c>
      <c r="Y21" s="88">
        <v>0</v>
      </c>
      <c r="Z21" s="144">
        <v>35</v>
      </c>
      <c r="AA21" s="88">
        <v>35</v>
      </c>
      <c r="AB21" s="88">
        <v>0</v>
      </c>
      <c r="AC21" s="144">
        <v>89</v>
      </c>
      <c r="AD21" s="88">
        <v>89</v>
      </c>
      <c r="AE21" s="88">
        <v>0</v>
      </c>
      <c r="AF21" s="144">
        <v>22</v>
      </c>
      <c r="AG21" s="88">
        <v>22</v>
      </c>
      <c r="AH21" s="88">
        <v>0</v>
      </c>
    </row>
    <row r="22" spans="1:34" ht="15" hidden="1" customHeight="1" outlineLevel="1">
      <c r="A22" s="81" t="e">
        <f>INDEX(#REF!,MATCH(30000756,#REF!,0),Sy_nop)</f>
        <v>#REF!</v>
      </c>
      <c r="B22" s="144">
        <v>0</v>
      </c>
      <c r="C22" s="88">
        <v>0</v>
      </c>
      <c r="D22" s="88">
        <v>0</v>
      </c>
      <c r="E22" s="144">
        <v>0</v>
      </c>
      <c r="F22" s="88">
        <v>0</v>
      </c>
      <c r="G22" s="88">
        <v>0</v>
      </c>
      <c r="H22" s="144">
        <v>0</v>
      </c>
      <c r="I22" s="88">
        <v>0</v>
      </c>
      <c r="J22" s="88">
        <v>0</v>
      </c>
      <c r="K22" s="144">
        <v>0</v>
      </c>
      <c r="L22" s="88">
        <v>0</v>
      </c>
      <c r="M22" s="88">
        <v>0</v>
      </c>
      <c r="N22" s="144">
        <v>0</v>
      </c>
      <c r="O22" s="88">
        <v>0</v>
      </c>
      <c r="P22" s="88">
        <v>0</v>
      </c>
      <c r="Q22" s="144">
        <v>341</v>
      </c>
      <c r="R22" s="88">
        <v>341</v>
      </c>
      <c r="S22" s="88">
        <v>0</v>
      </c>
      <c r="T22" s="144">
        <v>0</v>
      </c>
      <c r="U22" s="88">
        <v>0</v>
      </c>
      <c r="V22" s="88">
        <v>0</v>
      </c>
      <c r="W22" s="144">
        <v>341</v>
      </c>
      <c r="X22" s="88">
        <v>341</v>
      </c>
      <c r="Y22" s="88">
        <v>0</v>
      </c>
      <c r="Z22" s="144">
        <v>37</v>
      </c>
      <c r="AA22" s="88">
        <v>37</v>
      </c>
      <c r="AB22" s="88">
        <v>0</v>
      </c>
      <c r="AC22" s="144">
        <v>304</v>
      </c>
      <c r="AD22" s="88">
        <v>304</v>
      </c>
      <c r="AE22" s="88">
        <v>0</v>
      </c>
      <c r="AF22" s="144">
        <v>286</v>
      </c>
      <c r="AG22" s="88">
        <v>286</v>
      </c>
      <c r="AH22" s="88">
        <v>0</v>
      </c>
    </row>
    <row r="23" spans="1:34" ht="15" customHeight="1" collapsed="1">
      <c r="A23" s="73" t="e">
        <f>INDEX(#REF!,MATCH(-120025,#REF!,0),Sy_nop)</f>
        <v>#REF!</v>
      </c>
      <c r="B23" s="147">
        <v>-2297</v>
      </c>
      <c r="C23" s="72">
        <v>-2297</v>
      </c>
      <c r="D23" s="72">
        <v>0</v>
      </c>
      <c r="E23" s="147">
        <v>-612</v>
      </c>
      <c r="F23" s="72">
        <v>-612</v>
      </c>
      <c r="G23" s="72">
        <v>0</v>
      </c>
      <c r="H23" s="147">
        <v>-1685</v>
      </c>
      <c r="I23" s="72">
        <v>-1685</v>
      </c>
      <c r="J23" s="72">
        <v>0</v>
      </c>
      <c r="K23" s="147">
        <v>-762</v>
      </c>
      <c r="L23" s="72">
        <v>-762</v>
      </c>
      <c r="M23" s="72">
        <v>0</v>
      </c>
      <c r="N23" s="147">
        <v>-923</v>
      </c>
      <c r="O23" s="72">
        <v>-923</v>
      </c>
      <c r="P23" s="72">
        <v>0</v>
      </c>
      <c r="Q23" s="147">
        <v>-3394</v>
      </c>
      <c r="R23" s="72">
        <v>-3394</v>
      </c>
      <c r="S23" s="72">
        <v>0</v>
      </c>
      <c r="T23" s="147">
        <v>-947</v>
      </c>
      <c r="U23" s="72">
        <v>-947</v>
      </c>
      <c r="V23" s="72">
        <v>0</v>
      </c>
      <c r="W23" s="147">
        <v>-2446</v>
      </c>
      <c r="X23" s="72">
        <v>-2446</v>
      </c>
      <c r="Y23" s="72">
        <v>0</v>
      </c>
      <c r="Z23" s="147">
        <v>-1052</v>
      </c>
      <c r="AA23" s="72">
        <v>-1052</v>
      </c>
      <c r="AB23" s="72">
        <v>0</v>
      </c>
      <c r="AC23" s="147">
        <v>-1395</v>
      </c>
      <c r="AD23" s="72">
        <v>-1395</v>
      </c>
      <c r="AE23" s="72">
        <v>0</v>
      </c>
      <c r="AF23" s="147">
        <v>-514</v>
      </c>
      <c r="AG23" s="72">
        <v>-514</v>
      </c>
      <c r="AH23" s="72">
        <v>0</v>
      </c>
    </row>
    <row r="24" spans="1:34" ht="15" hidden="1" customHeight="1" outlineLevel="1">
      <c r="A24" s="27" t="e">
        <f>INDEX(#REF!,MATCH(78199588,#REF!,0),Sy_nop)</f>
        <v>#REF!</v>
      </c>
      <c r="B24" s="142">
        <v>122</v>
      </c>
      <c r="C24" s="14">
        <v>122</v>
      </c>
      <c r="D24" s="14">
        <v>0</v>
      </c>
      <c r="E24" s="142">
        <v>-19</v>
      </c>
      <c r="F24" s="14">
        <v>-19</v>
      </c>
      <c r="G24" s="14">
        <v>0</v>
      </c>
      <c r="H24" s="142">
        <v>141</v>
      </c>
      <c r="I24" s="14">
        <v>141</v>
      </c>
      <c r="J24" s="14">
        <v>0</v>
      </c>
      <c r="K24" s="142">
        <v>160</v>
      </c>
      <c r="L24" s="14">
        <v>160</v>
      </c>
      <c r="M24" s="14">
        <v>0</v>
      </c>
      <c r="N24" s="142">
        <v>-19</v>
      </c>
      <c r="O24" s="14">
        <v>-19</v>
      </c>
      <c r="P24" s="14">
        <v>0</v>
      </c>
      <c r="Q24" s="142">
        <v>39</v>
      </c>
      <c r="R24" s="14">
        <v>39</v>
      </c>
      <c r="S24" s="14">
        <v>0</v>
      </c>
      <c r="T24" s="142">
        <v>875</v>
      </c>
      <c r="U24" s="14">
        <v>875</v>
      </c>
      <c r="V24" s="14">
        <v>0</v>
      </c>
      <c r="W24" s="142">
        <v>-836</v>
      </c>
      <c r="X24" s="14">
        <v>-836</v>
      </c>
      <c r="Y24" s="14">
        <v>0</v>
      </c>
      <c r="Z24" s="142">
        <v>-17</v>
      </c>
      <c r="AA24" s="14">
        <v>-17</v>
      </c>
      <c r="AB24" s="14">
        <v>0</v>
      </c>
      <c r="AC24" s="142">
        <v>-819</v>
      </c>
      <c r="AD24" s="14">
        <v>-819</v>
      </c>
      <c r="AE24" s="14">
        <v>0</v>
      </c>
      <c r="AF24" s="142">
        <v>-719</v>
      </c>
      <c r="AG24" s="14">
        <v>-719</v>
      </c>
      <c r="AH24" s="14">
        <v>0</v>
      </c>
    </row>
    <row r="25" spans="1:34" ht="15" hidden="1" customHeight="1" outlineLevel="1">
      <c r="A25" s="27" t="e">
        <f>INDEX(#REF!,MATCH(-105886689,#REF!,0),Sy_nop)</f>
        <v>#REF!</v>
      </c>
      <c r="B25" s="142">
        <v>-12</v>
      </c>
      <c r="C25" s="14">
        <v>-12</v>
      </c>
      <c r="D25" s="14">
        <v>0</v>
      </c>
      <c r="E25" s="142">
        <v>0</v>
      </c>
      <c r="F25" s="14">
        <v>0</v>
      </c>
      <c r="G25" s="14">
        <v>0</v>
      </c>
      <c r="H25" s="142">
        <v>-12</v>
      </c>
      <c r="I25" s="14">
        <v>-12</v>
      </c>
      <c r="J25" s="14">
        <v>0</v>
      </c>
      <c r="K25" s="142">
        <v>-5</v>
      </c>
      <c r="L25" s="14">
        <v>-5</v>
      </c>
      <c r="M25" s="14">
        <v>0</v>
      </c>
      <c r="N25" s="142">
        <v>-7</v>
      </c>
      <c r="O25" s="14">
        <v>-7</v>
      </c>
      <c r="P25" s="14">
        <v>0</v>
      </c>
      <c r="Q25" s="142">
        <v>-24</v>
      </c>
      <c r="R25" s="14">
        <v>-24</v>
      </c>
      <c r="S25" s="14">
        <v>0</v>
      </c>
      <c r="T25" s="142">
        <v>-24</v>
      </c>
      <c r="U25" s="14">
        <v>-24</v>
      </c>
      <c r="V25" s="14">
        <v>0</v>
      </c>
      <c r="W25" s="142">
        <v>0</v>
      </c>
      <c r="X25" s="14">
        <v>0</v>
      </c>
      <c r="Y25" s="14">
        <v>0</v>
      </c>
      <c r="Z25" s="142">
        <v>0</v>
      </c>
      <c r="AA25" s="14">
        <v>0</v>
      </c>
      <c r="AB25" s="14">
        <v>0</v>
      </c>
      <c r="AC25" s="142">
        <v>0</v>
      </c>
      <c r="AD25" s="14">
        <v>0</v>
      </c>
      <c r="AE25" s="14">
        <v>0</v>
      </c>
      <c r="AF25" s="142">
        <v>0</v>
      </c>
      <c r="AG25" s="14">
        <v>0</v>
      </c>
      <c r="AH25" s="14">
        <v>0</v>
      </c>
    </row>
    <row r="26" spans="1:34" ht="15" hidden="1" customHeight="1" outlineLevel="1">
      <c r="A26" s="27" t="e">
        <f>INDEX(#REF!,MATCH(165344296,#REF!,0),Sy_nop)</f>
        <v>#REF!</v>
      </c>
      <c r="B26" s="142">
        <v>316</v>
      </c>
      <c r="C26" s="14">
        <v>316</v>
      </c>
      <c r="D26" s="14">
        <v>0</v>
      </c>
      <c r="E26" s="142">
        <v>-422</v>
      </c>
      <c r="F26" s="14">
        <v>-422</v>
      </c>
      <c r="G26" s="14">
        <v>0</v>
      </c>
      <c r="H26" s="142">
        <v>738</v>
      </c>
      <c r="I26" s="14">
        <v>738</v>
      </c>
      <c r="J26" s="14">
        <v>0</v>
      </c>
      <c r="K26" s="142">
        <v>278</v>
      </c>
      <c r="L26" s="14">
        <v>278</v>
      </c>
      <c r="M26" s="14">
        <v>0</v>
      </c>
      <c r="N26" s="142">
        <v>460</v>
      </c>
      <c r="O26" s="14">
        <v>460</v>
      </c>
      <c r="P26" s="14">
        <v>0</v>
      </c>
      <c r="Q26" s="142">
        <v>292</v>
      </c>
      <c r="R26" s="14">
        <v>292</v>
      </c>
      <c r="S26" s="14">
        <v>0</v>
      </c>
      <c r="T26" s="142">
        <v>-1123</v>
      </c>
      <c r="U26" s="14">
        <v>-1123</v>
      </c>
      <c r="V26" s="14">
        <v>0</v>
      </c>
      <c r="W26" s="142">
        <v>1414</v>
      </c>
      <c r="X26" s="14">
        <v>1414</v>
      </c>
      <c r="Y26" s="14">
        <v>0</v>
      </c>
      <c r="Z26" s="142">
        <v>422</v>
      </c>
      <c r="AA26" s="14">
        <v>422</v>
      </c>
      <c r="AB26" s="14">
        <v>0</v>
      </c>
      <c r="AC26" s="142">
        <v>992</v>
      </c>
      <c r="AD26" s="14">
        <v>992</v>
      </c>
      <c r="AE26" s="14">
        <v>0</v>
      </c>
      <c r="AF26" s="142">
        <v>776</v>
      </c>
      <c r="AG26" s="14">
        <v>776</v>
      </c>
      <c r="AH26" s="14">
        <v>0</v>
      </c>
    </row>
    <row r="27" spans="1:34" ht="15" hidden="1" customHeight="1" outlineLevel="1">
      <c r="A27" s="27" t="e">
        <f>INDEX(#REF!,MATCH(102489131,#REF!,0),Sy_nop)</f>
        <v>#REF!</v>
      </c>
      <c r="B27" s="142">
        <v>-530</v>
      </c>
      <c r="C27" s="14">
        <v>-530</v>
      </c>
      <c r="D27" s="14">
        <v>0</v>
      </c>
      <c r="E27" s="142">
        <v>0</v>
      </c>
      <c r="F27" s="14">
        <v>0</v>
      </c>
      <c r="G27" s="14">
        <v>0</v>
      </c>
      <c r="H27" s="142">
        <v>-530</v>
      </c>
      <c r="I27" s="14">
        <v>-530</v>
      </c>
      <c r="J27" s="14">
        <v>0</v>
      </c>
      <c r="K27" s="142">
        <v>-529</v>
      </c>
      <c r="L27" s="14">
        <v>-529</v>
      </c>
      <c r="M27" s="14">
        <v>0</v>
      </c>
      <c r="N27" s="142">
        <v>0</v>
      </c>
      <c r="O27" s="14">
        <v>0</v>
      </c>
      <c r="P27" s="14">
        <v>0</v>
      </c>
      <c r="Q27" s="142">
        <v>-650</v>
      </c>
      <c r="R27" s="14">
        <v>-650</v>
      </c>
      <c r="S27" s="14">
        <v>0</v>
      </c>
      <c r="T27" s="142">
        <v>-4</v>
      </c>
      <c r="U27" s="14">
        <v>-4</v>
      </c>
      <c r="V27" s="14">
        <v>0</v>
      </c>
      <c r="W27" s="142">
        <v>-646</v>
      </c>
      <c r="X27" s="14">
        <v>-646</v>
      </c>
      <c r="Y27" s="14">
        <v>0</v>
      </c>
      <c r="Z27" s="142">
        <v>-13</v>
      </c>
      <c r="AA27" s="14">
        <v>-13</v>
      </c>
      <c r="AB27" s="14">
        <v>0</v>
      </c>
      <c r="AC27" s="142">
        <v>-633</v>
      </c>
      <c r="AD27" s="14">
        <v>-633</v>
      </c>
      <c r="AE27" s="14">
        <v>0</v>
      </c>
      <c r="AF27" s="142">
        <v>-633</v>
      </c>
      <c r="AG27" s="14">
        <v>-633</v>
      </c>
      <c r="AH27" s="14">
        <v>0</v>
      </c>
    </row>
    <row r="28" spans="1:34" ht="15" hidden="1" customHeight="1" outlineLevel="1">
      <c r="A28" s="69" t="e">
        <f>INDEX(#REF!,MATCH(-113663215,#REF!,0),Sy_nop)</f>
        <v>#REF!</v>
      </c>
      <c r="B28" s="144">
        <v>0</v>
      </c>
      <c r="C28" s="88">
        <v>0</v>
      </c>
      <c r="D28" s="88">
        <v>0</v>
      </c>
      <c r="E28" s="144">
        <v>0</v>
      </c>
      <c r="F28" s="88">
        <v>0</v>
      </c>
      <c r="G28" s="88">
        <v>0</v>
      </c>
      <c r="H28" s="144">
        <v>0</v>
      </c>
      <c r="I28" s="88">
        <v>0</v>
      </c>
      <c r="J28" s="88">
        <v>0</v>
      </c>
      <c r="K28" s="144">
        <v>0</v>
      </c>
      <c r="L28" s="88">
        <v>0</v>
      </c>
      <c r="M28" s="88">
        <v>0</v>
      </c>
      <c r="N28" s="144">
        <v>0</v>
      </c>
      <c r="O28" s="88">
        <v>0</v>
      </c>
      <c r="P28" s="88">
        <v>0</v>
      </c>
      <c r="Q28" s="144">
        <v>0</v>
      </c>
      <c r="R28" s="88">
        <v>0</v>
      </c>
      <c r="S28" s="88">
        <v>0</v>
      </c>
      <c r="T28" s="144">
        <v>0</v>
      </c>
      <c r="U28" s="88">
        <v>0</v>
      </c>
      <c r="V28" s="88">
        <v>0</v>
      </c>
      <c r="W28" s="144">
        <v>0</v>
      </c>
      <c r="X28" s="88">
        <v>0</v>
      </c>
      <c r="Y28" s="88">
        <v>0</v>
      </c>
      <c r="Z28" s="144">
        <v>0</v>
      </c>
      <c r="AA28" s="88">
        <v>0</v>
      </c>
      <c r="AB28" s="88">
        <v>0</v>
      </c>
      <c r="AC28" s="144">
        <v>0</v>
      </c>
      <c r="AD28" s="88">
        <v>0</v>
      </c>
      <c r="AE28" s="88">
        <v>0</v>
      </c>
      <c r="AF28" s="144">
        <v>0</v>
      </c>
      <c r="AG28" s="88">
        <v>0</v>
      </c>
      <c r="AH28" s="88">
        <v>0</v>
      </c>
    </row>
    <row r="29" spans="1:34" ht="15" hidden="1" customHeight="1" outlineLevel="1">
      <c r="A29" s="81" t="e">
        <f>INDEX(#REF!,MATCH(-168818253,#REF!,0),Sy_nop)</f>
        <v>#REF!</v>
      </c>
      <c r="B29" s="144">
        <v>0</v>
      </c>
      <c r="C29" s="88">
        <v>0</v>
      </c>
      <c r="D29" s="88">
        <v>0</v>
      </c>
      <c r="E29" s="144">
        <v>0</v>
      </c>
      <c r="F29" s="88">
        <v>0</v>
      </c>
      <c r="G29" s="88">
        <v>0</v>
      </c>
      <c r="H29" s="144">
        <v>0</v>
      </c>
      <c r="I29" s="88">
        <v>0</v>
      </c>
      <c r="J29" s="88">
        <v>0</v>
      </c>
      <c r="K29" s="144">
        <v>0</v>
      </c>
      <c r="L29" s="88">
        <v>0</v>
      </c>
      <c r="M29" s="88">
        <v>0</v>
      </c>
      <c r="N29" s="144">
        <v>0</v>
      </c>
      <c r="O29" s="88">
        <v>0</v>
      </c>
      <c r="P29" s="88">
        <v>0</v>
      </c>
      <c r="Q29" s="144">
        <v>0</v>
      </c>
      <c r="R29" s="88">
        <v>0</v>
      </c>
      <c r="S29" s="88">
        <v>0</v>
      </c>
      <c r="T29" s="144">
        <v>0</v>
      </c>
      <c r="U29" s="88">
        <v>0</v>
      </c>
      <c r="V29" s="88">
        <v>0</v>
      </c>
      <c r="W29" s="144">
        <v>0</v>
      </c>
      <c r="X29" s="88">
        <v>0</v>
      </c>
      <c r="Y29" s="88">
        <v>0</v>
      </c>
      <c r="Z29" s="144">
        <v>0</v>
      </c>
      <c r="AA29" s="88">
        <v>0</v>
      </c>
      <c r="AB29" s="88">
        <v>0</v>
      </c>
      <c r="AC29" s="144">
        <v>0</v>
      </c>
      <c r="AD29" s="88">
        <v>0</v>
      </c>
      <c r="AE29" s="88">
        <v>0</v>
      </c>
      <c r="AF29" s="144">
        <v>0</v>
      </c>
      <c r="AG29" s="88">
        <v>0</v>
      </c>
      <c r="AH29" s="88">
        <v>0</v>
      </c>
    </row>
    <row r="30" spans="1:34" ht="15" customHeight="1" collapsed="1">
      <c r="A30" s="73" t="e">
        <f>INDEX(#REF!,MATCH(145153082,#REF!,0),Sy_nop)</f>
        <v>#REF!</v>
      </c>
      <c r="B30" s="147">
        <v>-104</v>
      </c>
      <c r="C30" s="72">
        <v>-104</v>
      </c>
      <c r="D30" s="72">
        <v>0</v>
      </c>
      <c r="E30" s="147">
        <v>-441</v>
      </c>
      <c r="F30" s="72">
        <v>-441</v>
      </c>
      <c r="G30" s="72">
        <v>0</v>
      </c>
      <c r="H30" s="147">
        <v>338</v>
      </c>
      <c r="I30" s="72">
        <v>338</v>
      </c>
      <c r="J30" s="72">
        <v>0</v>
      </c>
      <c r="K30" s="147">
        <v>-96</v>
      </c>
      <c r="L30" s="72">
        <v>-96</v>
      </c>
      <c r="M30" s="72">
        <v>0</v>
      </c>
      <c r="N30" s="147">
        <v>434</v>
      </c>
      <c r="O30" s="72">
        <v>434</v>
      </c>
      <c r="P30" s="72">
        <v>0</v>
      </c>
      <c r="Q30" s="147">
        <v>-342</v>
      </c>
      <c r="R30" s="72">
        <v>-342</v>
      </c>
      <c r="S30" s="72">
        <v>0</v>
      </c>
      <c r="T30" s="147">
        <v>-274</v>
      </c>
      <c r="U30" s="72">
        <v>-274</v>
      </c>
      <c r="V30" s="72">
        <v>0</v>
      </c>
      <c r="W30" s="147">
        <v>-68</v>
      </c>
      <c r="X30" s="72">
        <v>-68</v>
      </c>
      <c r="Y30" s="72">
        <v>0</v>
      </c>
      <c r="Z30" s="147">
        <v>391</v>
      </c>
      <c r="AA30" s="72">
        <v>391</v>
      </c>
      <c r="AB30" s="72">
        <v>0</v>
      </c>
      <c r="AC30" s="147">
        <v>-459</v>
      </c>
      <c r="AD30" s="72">
        <v>-459</v>
      </c>
      <c r="AE30" s="72">
        <v>0</v>
      </c>
      <c r="AF30" s="147">
        <v>-576</v>
      </c>
      <c r="AG30" s="72">
        <v>-576</v>
      </c>
      <c r="AH30" s="72">
        <v>0</v>
      </c>
    </row>
    <row r="31" spans="1:34" ht="15" hidden="1" customHeight="1" outlineLevel="1">
      <c r="A31" s="28" t="e">
        <f>INDEX(#REF!,MATCH(28235624,#REF!,0),Sy_nop)</f>
        <v>#REF!</v>
      </c>
      <c r="B31" s="142">
        <v>-36</v>
      </c>
      <c r="C31" s="14">
        <v>-36</v>
      </c>
      <c r="D31" s="14">
        <v>0</v>
      </c>
      <c r="E31" s="142">
        <v>-28</v>
      </c>
      <c r="F31" s="14">
        <v>-28</v>
      </c>
      <c r="G31" s="14">
        <v>0</v>
      </c>
      <c r="H31" s="142">
        <v>-8</v>
      </c>
      <c r="I31" s="14">
        <v>-8</v>
      </c>
      <c r="J31" s="14">
        <v>0</v>
      </c>
      <c r="K31" s="142">
        <v>-19</v>
      </c>
      <c r="L31" s="14">
        <v>-19</v>
      </c>
      <c r="M31" s="14">
        <v>0</v>
      </c>
      <c r="N31" s="142">
        <v>11</v>
      </c>
      <c r="O31" s="14">
        <v>11</v>
      </c>
      <c r="P31" s="14">
        <v>0</v>
      </c>
      <c r="Q31" s="142">
        <v>14</v>
      </c>
      <c r="R31" s="14">
        <v>14</v>
      </c>
      <c r="S31" s="14">
        <v>0</v>
      </c>
      <c r="T31" s="142">
        <v>6</v>
      </c>
      <c r="U31" s="14">
        <v>6</v>
      </c>
      <c r="V31" s="14">
        <v>0</v>
      </c>
      <c r="W31" s="142">
        <v>8</v>
      </c>
      <c r="X31" s="14">
        <v>8</v>
      </c>
      <c r="Y31" s="14">
        <v>0</v>
      </c>
      <c r="Z31" s="142">
        <v>3</v>
      </c>
      <c r="AA31" s="14">
        <v>3</v>
      </c>
      <c r="AB31" s="14">
        <v>0</v>
      </c>
      <c r="AC31" s="142">
        <v>5</v>
      </c>
      <c r="AD31" s="14">
        <v>5</v>
      </c>
      <c r="AE31" s="14">
        <v>0</v>
      </c>
      <c r="AF31" s="142">
        <v>1</v>
      </c>
      <c r="AG31" s="14">
        <v>1</v>
      </c>
      <c r="AH31" s="14">
        <v>0</v>
      </c>
    </row>
    <row r="32" spans="1:34" ht="15" customHeight="1" collapsed="1">
      <c r="A32" s="29" t="e">
        <f>INDEX(#REF!,MATCH(168085900,#REF!,0),Sy_nop)</f>
        <v>#REF!</v>
      </c>
      <c r="B32" s="238">
        <v>-37</v>
      </c>
      <c r="C32" s="242">
        <v>-37</v>
      </c>
      <c r="D32" s="242">
        <v>0</v>
      </c>
      <c r="E32" s="238">
        <v>54</v>
      </c>
      <c r="F32" s="242">
        <v>54</v>
      </c>
      <c r="G32" s="242">
        <v>0</v>
      </c>
      <c r="H32" s="238">
        <v>-91</v>
      </c>
      <c r="I32" s="242">
        <v>-91</v>
      </c>
      <c r="J32" s="242">
        <v>0</v>
      </c>
      <c r="K32" s="238">
        <v>-18</v>
      </c>
      <c r="L32" s="242">
        <v>-18</v>
      </c>
      <c r="M32" s="242">
        <v>0</v>
      </c>
      <c r="N32" s="238">
        <v>-73</v>
      </c>
      <c r="O32" s="242">
        <v>-73</v>
      </c>
      <c r="P32" s="242">
        <v>0</v>
      </c>
      <c r="Q32" s="238">
        <v>-56</v>
      </c>
      <c r="R32" s="242">
        <v>-56</v>
      </c>
      <c r="S32" s="242">
        <v>0</v>
      </c>
      <c r="T32" s="238">
        <v>229</v>
      </c>
      <c r="U32" s="242">
        <v>229</v>
      </c>
      <c r="V32" s="242">
        <v>0</v>
      </c>
      <c r="W32" s="238">
        <v>-285</v>
      </c>
      <c r="X32" s="242">
        <v>-285</v>
      </c>
      <c r="Y32" s="242">
        <v>0</v>
      </c>
      <c r="Z32" s="238">
        <v>-23</v>
      </c>
      <c r="AA32" s="242">
        <v>-23</v>
      </c>
      <c r="AB32" s="242">
        <v>0</v>
      </c>
      <c r="AC32" s="238">
        <v>-262</v>
      </c>
      <c r="AD32" s="242">
        <v>-262</v>
      </c>
      <c r="AE32" s="242">
        <v>0</v>
      </c>
      <c r="AF32" s="238">
        <v>-409</v>
      </c>
      <c r="AG32" s="242">
        <v>-409</v>
      </c>
      <c r="AH32" s="242">
        <v>0</v>
      </c>
    </row>
    <row r="33" spans="1:34" ht="15" hidden="1" customHeight="1" outlineLevel="1">
      <c r="A33" s="27" t="e">
        <f>INDEX(#REF!,MATCH(-48454992,#REF!,0),Sy_nop)</f>
        <v>#REF!</v>
      </c>
      <c r="B33" s="142">
        <v>649</v>
      </c>
      <c r="C33" s="14">
        <v>649</v>
      </c>
      <c r="D33" s="14">
        <v>0</v>
      </c>
      <c r="E33" s="142">
        <v>558</v>
      </c>
      <c r="F33" s="14">
        <v>558</v>
      </c>
      <c r="G33" s="14">
        <v>0</v>
      </c>
      <c r="H33" s="142">
        <v>649</v>
      </c>
      <c r="I33" s="14">
        <v>649</v>
      </c>
      <c r="J33" s="14">
        <v>0</v>
      </c>
      <c r="K33" s="142">
        <v>576</v>
      </c>
      <c r="L33" s="14">
        <v>576</v>
      </c>
      <c r="M33" s="14">
        <v>0</v>
      </c>
      <c r="N33" s="142">
        <v>649</v>
      </c>
      <c r="O33" s="14">
        <v>649</v>
      </c>
      <c r="P33" s="14">
        <v>0</v>
      </c>
      <c r="Q33" s="142">
        <v>705</v>
      </c>
      <c r="R33" s="14">
        <v>705</v>
      </c>
      <c r="S33" s="14">
        <v>0</v>
      </c>
      <c r="T33" s="142">
        <v>420</v>
      </c>
      <c r="U33" s="14">
        <v>420</v>
      </c>
      <c r="V33" s="14">
        <v>0</v>
      </c>
      <c r="W33" s="142">
        <v>705</v>
      </c>
      <c r="X33" s="14">
        <v>705</v>
      </c>
      <c r="Y33" s="14">
        <v>0</v>
      </c>
      <c r="Z33" s="142">
        <v>443</v>
      </c>
      <c r="AA33" s="14">
        <v>443</v>
      </c>
      <c r="AB33" s="14">
        <v>0</v>
      </c>
      <c r="AC33" s="142">
        <v>705</v>
      </c>
      <c r="AD33" s="14">
        <v>705</v>
      </c>
      <c r="AE33" s="14">
        <v>0</v>
      </c>
      <c r="AF33" s="142">
        <v>852</v>
      </c>
      <c r="AG33" s="14">
        <v>852</v>
      </c>
      <c r="AH33" s="14">
        <v>0</v>
      </c>
    </row>
    <row r="34" spans="1:34" ht="15" customHeight="1" collapsed="1" thickBot="1">
      <c r="A34" s="56" t="e">
        <f>INDEX(#REF!,MATCH(-192619560,#REF!,0),Sy_nop)</f>
        <v>#REF!</v>
      </c>
      <c r="B34" s="258">
        <v>612</v>
      </c>
      <c r="C34" s="241">
        <v>612</v>
      </c>
      <c r="D34" s="241">
        <v>0</v>
      </c>
      <c r="E34" s="258">
        <v>612</v>
      </c>
      <c r="F34" s="241">
        <v>612</v>
      </c>
      <c r="G34" s="241">
        <v>0</v>
      </c>
      <c r="H34" s="258">
        <v>558</v>
      </c>
      <c r="I34" s="241">
        <v>558</v>
      </c>
      <c r="J34" s="241">
        <v>0</v>
      </c>
      <c r="K34" s="258">
        <v>558</v>
      </c>
      <c r="L34" s="241">
        <v>558</v>
      </c>
      <c r="M34" s="241">
        <v>0</v>
      </c>
      <c r="N34" s="258">
        <v>576</v>
      </c>
      <c r="O34" s="241">
        <v>576</v>
      </c>
      <c r="P34" s="241">
        <v>0</v>
      </c>
      <c r="Q34" s="258">
        <v>649</v>
      </c>
      <c r="R34" s="241">
        <v>649</v>
      </c>
      <c r="S34" s="241">
        <v>0</v>
      </c>
      <c r="T34" s="258">
        <v>649</v>
      </c>
      <c r="U34" s="241">
        <v>649</v>
      </c>
      <c r="V34" s="241">
        <v>0</v>
      </c>
      <c r="W34" s="258">
        <v>420</v>
      </c>
      <c r="X34" s="241">
        <v>420</v>
      </c>
      <c r="Y34" s="241">
        <v>0</v>
      </c>
      <c r="Z34" s="258">
        <v>420</v>
      </c>
      <c r="AA34" s="241">
        <v>420</v>
      </c>
      <c r="AB34" s="241">
        <v>0</v>
      </c>
      <c r="AC34" s="258">
        <v>443</v>
      </c>
      <c r="AD34" s="241">
        <v>443</v>
      </c>
      <c r="AE34" s="241">
        <v>0</v>
      </c>
      <c r="AF34" s="258">
        <v>443</v>
      </c>
      <c r="AG34" s="241">
        <v>443</v>
      </c>
      <c r="AH34" s="241">
        <v>0</v>
      </c>
    </row>
    <row r="35" spans="1:34" ht="27.75" customHeight="1" thickTop="1">
      <c r="A35" s="148"/>
      <c r="B35" s="689"/>
      <c r="C35" s="689"/>
      <c r="D35" s="689"/>
      <c r="E35" s="689"/>
      <c r="F35" s="689"/>
      <c r="G35" s="689"/>
      <c r="H35" s="148"/>
      <c r="I35" s="148"/>
      <c r="J35" s="148"/>
      <c r="K35" s="690"/>
      <c r="L35" s="690"/>
      <c r="M35" s="690"/>
      <c r="N35" s="148"/>
      <c r="O35" s="148"/>
      <c r="P35" s="148"/>
      <c r="Q35" s="689"/>
      <c r="R35" s="689"/>
      <c r="S35" s="689"/>
      <c r="T35" s="689"/>
      <c r="U35" s="689"/>
      <c r="V35" s="689"/>
      <c r="W35" s="689"/>
      <c r="X35" s="689"/>
      <c r="Y35" s="689"/>
      <c r="Z35" s="689"/>
      <c r="AA35" s="689"/>
      <c r="AB35" s="689"/>
      <c r="AC35" s="689"/>
      <c r="AD35" s="689"/>
      <c r="AE35" s="689"/>
      <c r="AF35" s="689"/>
      <c r="AG35" s="689"/>
      <c r="AH35" s="689"/>
    </row>
  </sheetData>
  <mergeCells count="9">
    <mergeCell ref="Z35:AB35"/>
    <mergeCell ref="AC35:AE35"/>
    <mergeCell ref="AF35:AH35"/>
    <mergeCell ref="B35:D35"/>
    <mergeCell ref="E35:G35"/>
    <mergeCell ref="K35:M35"/>
    <mergeCell ref="Q35:S35"/>
    <mergeCell ref="T35:V35"/>
    <mergeCell ref="W35:Y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AO29"/>
  <sheetViews>
    <sheetView zoomScale="80" zoomScaleNormal="80" zoomScaleSheetLayoutView="70" workbookViewId="0">
      <selection activeCell="D35" sqref="D35"/>
    </sheetView>
  </sheetViews>
  <sheetFormatPr defaultColWidth="11.42578125" defaultRowHeight="15" customHeight="1" outlineLevelCol="1"/>
  <cols>
    <col min="1" max="4" width="2.140625" customWidth="1"/>
    <col min="5" max="5" width="2.140625" style="165" customWidth="1"/>
    <col min="6" max="6" width="63.42578125" customWidth="1"/>
    <col min="7" max="18" width="11.42578125" hidden="1" customWidth="1" outlineLevel="1"/>
    <col min="19" max="19" width="11.42578125" customWidth="1" collapsed="1"/>
    <col min="20" max="27" width="11.42578125" customWidth="1"/>
    <col min="28" max="39" width="11.42578125" hidden="1" customWidth="1" outlineLevel="1"/>
    <col min="40" max="40" width="11.42578125" collapsed="1"/>
  </cols>
  <sheetData>
    <row r="1" spans="1:41" s="229" customFormat="1" ht="5.25" customHeight="1">
      <c r="A1" s="169"/>
      <c r="E1" s="230"/>
      <c r="G1" s="226"/>
      <c r="H1" s="169"/>
      <c r="I1" s="226"/>
      <c r="J1" s="226"/>
      <c r="K1" s="169"/>
      <c r="L1" s="226"/>
      <c r="M1" s="226"/>
      <c r="N1" s="169"/>
      <c r="O1" s="226"/>
      <c r="P1" s="226"/>
      <c r="Q1" s="169"/>
      <c r="R1" s="226"/>
      <c r="S1" s="226"/>
      <c r="T1" s="169"/>
      <c r="U1" s="226"/>
      <c r="V1" s="226"/>
      <c r="W1" s="169"/>
      <c r="X1" s="226"/>
      <c r="Y1" s="226"/>
      <c r="Z1" s="169"/>
      <c r="AA1" s="226"/>
      <c r="AB1" s="226"/>
      <c r="AC1" s="169"/>
      <c r="AD1" s="226"/>
      <c r="AE1" s="226"/>
      <c r="AF1" s="169"/>
      <c r="AG1" s="226"/>
      <c r="AH1" s="226"/>
      <c r="AI1" s="169"/>
      <c r="AJ1" s="226"/>
      <c r="AK1" s="226"/>
      <c r="AL1" s="169"/>
      <c r="AM1" s="226"/>
    </row>
    <row r="2" spans="1:41" ht="5.25" customHeight="1"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</row>
    <row r="3" spans="1:41" ht="5.25" customHeight="1">
      <c r="A3" s="227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</row>
    <row r="4" spans="1:41" ht="5.25" customHeight="1"/>
    <row r="5" spans="1:41" ht="15" customHeight="1">
      <c r="F5" s="1" t="s">
        <v>382</v>
      </c>
    </row>
    <row r="6" spans="1:41" ht="15" customHeight="1">
      <c r="F6" s="40" t="s">
        <v>23</v>
      </c>
    </row>
    <row r="7" spans="1:41" ht="30" customHeight="1">
      <c r="G7" s="160" t="e">
        <f>INDEX(#REF!,MATCH(-174564184,#REF!,0),Sy_nop)</f>
        <v>#REF!</v>
      </c>
      <c r="H7" s="149" t="e">
        <f>INDEX(#REF!,MATCH(-187872572,#REF!,0),Sy_nop)</f>
        <v>#REF!</v>
      </c>
      <c r="I7" s="150" t="s">
        <v>275</v>
      </c>
      <c r="J7" s="160" t="e">
        <f>INDEX(#REF!,MATCH(-174564184,#REF!,0),Sy_nop)</f>
        <v>#REF!</v>
      </c>
      <c r="K7" s="149" t="e">
        <f>INDEX(#REF!,MATCH(-187872572,#REF!,0),Sy_nop)</f>
        <v>#REF!</v>
      </c>
      <c r="L7" s="150" t="s">
        <v>275</v>
      </c>
      <c r="M7" s="160" t="e">
        <f>INDEX(#REF!,MATCH(-174564184,#REF!,0),Sy_nop)</f>
        <v>#REF!</v>
      </c>
      <c r="N7" s="149" t="e">
        <f>INDEX(#REF!,MATCH(-187872572,#REF!,0),Sy_nop)</f>
        <v>#REF!</v>
      </c>
      <c r="O7" s="150" t="s">
        <v>275</v>
      </c>
      <c r="P7" s="160" t="e">
        <f>INDEX(#REF!,MATCH(-174564184,#REF!,0),Sy_nop)</f>
        <v>#REF!</v>
      </c>
      <c r="Q7" s="149" t="e">
        <f>INDEX(#REF!,MATCH(-187872572,#REF!,0),Sy_nop)</f>
        <v>#REF!</v>
      </c>
      <c r="R7" s="150" t="s">
        <v>275</v>
      </c>
      <c r="S7" s="160" t="e">
        <f>INDEX(#REF!,MATCH(-174564184,#REF!,0),Sy_nop)</f>
        <v>#REF!</v>
      </c>
      <c r="T7" s="149" t="e">
        <f>INDEX(#REF!,MATCH(-187872572,#REF!,0),Sy_nop)</f>
        <v>#REF!</v>
      </c>
      <c r="U7" s="150" t="s">
        <v>275</v>
      </c>
      <c r="V7" s="160" t="e">
        <f>INDEX(#REF!,MATCH(-174564184,#REF!,0),Sy_nop)</f>
        <v>#REF!</v>
      </c>
      <c r="W7" s="149" t="e">
        <f>INDEX(#REF!,MATCH(-187872572,#REF!,0),Sy_nop)</f>
        <v>#REF!</v>
      </c>
      <c r="X7" s="150" t="s">
        <v>275</v>
      </c>
      <c r="Y7" s="160" t="e">
        <f>INDEX(#REF!,MATCH(-174564184,#REF!,0),Sy_nop)</f>
        <v>#REF!</v>
      </c>
      <c r="Z7" s="149" t="e">
        <f>INDEX(#REF!,MATCH(-187872572,#REF!,0),Sy_nop)</f>
        <v>#REF!</v>
      </c>
      <c r="AA7" s="150" t="s">
        <v>275</v>
      </c>
      <c r="AB7" s="160" t="e">
        <f>INDEX(#REF!,MATCH(-174564184,#REF!,0),Sy_nop)</f>
        <v>#REF!</v>
      </c>
      <c r="AC7" s="149" t="e">
        <f>INDEX(#REF!,MATCH(-187872572,#REF!,0),Sy_nop)</f>
        <v>#REF!</v>
      </c>
      <c r="AD7" s="150" t="s">
        <v>275</v>
      </c>
      <c r="AE7" s="160" t="e">
        <f>INDEX(#REF!,MATCH(-174564184,#REF!,0),Sy_nop)</f>
        <v>#REF!</v>
      </c>
      <c r="AF7" s="149" t="e">
        <f>INDEX(#REF!,MATCH(-187872572,#REF!,0),Sy_nop)</f>
        <v>#REF!</v>
      </c>
      <c r="AG7" s="150" t="s">
        <v>275</v>
      </c>
      <c r="AH7" s="160" t="e">
        <f>INDEX(#REF!,MATCH(-174564184,#REF!,0),Sy_nop)</f>
        <v>#REF!</v>
      </c>
      <c r="AI7" s="149" t="e">
        <f>INDEX(#REF!,MATCH(-187872572,#REF!,0),Sy_nop)</f>
        <v>#REF!</v>
      </c>
      <c r="AJ7" s="150" t="s">
        <v>275</v>
      </c>
      <c r="AK7" s="160" t="e">
        <f>INDEX(#REF!,MATCH(-174564184,#REF!,0),Sy_nop)</f>
        <v>#REF!</v>
      </c>
      <c r="AL7" s="149" t="e">
        <f>INDEX(#REF!,MATCH(-187872572,#REF!,0),Sy_nop)</f>
        <v>#REF!</v>
      </c>
      <c r="AM7" s="150" t="s">
        <v>275</v>
      </c>
    </row>
    <row r="8" spans="1:41" ht="15" customHeight="1" thickBot="1">
      <c r="F8" s="87" t="e">
        <f>INDEX(#REF!,MATCH(25680270,#REF!,0),Sy_nop)</f>
        <v>#REF!</v>
      </c>
      <c r="G8" s="161" t="s">
        <v>276</v>
      </c>
      <c r="H8" s="151" t="s">
        <v>276</v>
      </c>
      <c r="I8" s="152" t="e">
        <f>INDEX(#REF!,MATCH(29883458,#REF!,0),Sy_nop)</f>
        <v>#REF!</v>
      </c>
      <c r="J8" s="161" t="s">
        <v>277</v>
      </c>
      <c r="K8" s="151" t="s">
        <v>277</v>
      </c>
      <c r="L8" s="152" t="e">
        <f>INDEX(#REF!,MATCH(29883458,#REF!,0),Sy_nop)</f>
        <v>#REF!</v>
      </c>
      <c r="M8" s="161" t="e">
        <f>INDEX(#REF!,MATCH(179168049,#REF!,0),Sy_nop)</f>
        <v>#REF!</v>
      </c>
      <c r="N8" s="151" t="e">
        <f>INDEX(#REF!,MATCH(179168049,#REF!,0),Sy_nop)</f>
        <v>#REF!</v>
      </c>
      <c r="O8" s="152" t="e">
        <f>INDEX(#REF!,MATCH(29883458,#REF!,0),Sy_nop)</f>
        <v>#REF!</v>
      </c>
      <c r="P8" s="161" t="s">
        <v>279</v>
      </c>
      <c r="Q8" s="151" t="s">
        <v>279</v>
      </c>
      <c r="R8" s="152" t="e">
        <f>INDEX(#REF!,MATCH(29883458,#REF!,0),Sy_nop)</f>
        <v>#REF!</v>
      </c>
      <c r="S8" s="161" t="s">
        <v>280</v>
      </c>
      <c r="T8" s="151" t="s">
        <v>280</v>
      </c>
      <c r="U8" s="152" t="e">
        <f>INDEX(#REF!,MATCH(29883458,#REF!,0),Sy_nop)</f>
        <v>#REF!</v>
      </c>
      <c r="V8" s="161">
        <v>2014</v>
      </c>
      <c r="W8" s="151">
        <v>2014</v>
      </c>
      <c r="X8" s="152" t="e">
        <f>INDEX(#REF!,MATCH(29883458,#REF!,0),Sy_nop)</f>
        <v>#REF!</v>
      </c>
      <c r="Y8" s="161" t="s">
        <v>281</v>
      </c>
      <c r="Z8" s="151" t="s">
        <v>281</v>
      </c>
      <c r="AA8" s="152" t="e">
        <f>INDEX(#REF!,MATCH(29883458,#REF!,0),Sy_nop)</f>
        <v>#REF!</v>
      </c>
      <c r="AB8" s="161" t="e">
        <f>INDEX(#REF!,MATCH(54739964,#REF!,0),Sy_nop)</f>
        <v>#REF!</v>
      </c>
      <c r="AC8" s="151" t="e">
        <f>INDEX(#REF!,MATCH(54739964,#REF!,0),Sy_nop)</f>
        <v>#REF!</v>
      </c>
      <c r="AD8" s="152" t="e">
        <f>INDEX(#REF!,MATCH(29883458,#REF!,0),Sy_nop)</f>
        <v>#REF!</v>
      </c>
      <c r="AE8" s="161" t="s">
        <v>283</v>
      </c>
      <c r="AF8" s="151" t="s">
        <v>283</v>
      </c>
      <c r="AG8" s="152" t="e">
        <f>INDEX(#REF!,MATCH(29883458,#REF!,0),Sy_nop)</f>
        <v>#REF!</v>
      </c>
      <c r="AH8" s="161" t="e">
        <f>INDEX(#REF!,MATCH(3931748,#REF!,0),Sy_nop)</f>
        <v>#REF!</v>
      </c>
      <c r="AI8" s="151" t="e">
        <f>INDEX(#REF!,MATCH(3931748,#REF!,0),Sy_nop)</f>
        <v>#REF!</v>
      </c>
      <c r="AJ8" s="152" t="s">
        <v>287</v>
      </c>
      <c r="AK8" s="161" t="s">
        <v>285</v>
      </c>
      <c r="AL8" s="151" t="s">
        <v>285</v>
      </c>
      <c r="AM8" s="152" t="e">
        <f>INDEX(#REF!,MATCH(29883458,#REF!,0),Sy_nop)</f>
        <v>#REF!</v>
      </c>
    </row>
    <row r="9" spans="1:41" ht="15" customHeight="1" thickTop="1">
      <c r="A9" s="170"/>
      <c r="B9" s="169"/>
      <c r="C9" s="168"/>
      <c r="D9" s="168"/>
      <c r="E9" s="167"/>
      <c r="F9" s="77" t="e">
        <f>INDEX(#REF!,MATCH(187492088,#REF!,0),Sy_nop)</f>
        <v>#REF!</v>
      </c>
      <c r="G9" s="142">
        <v>531</v>
      </c>
      <c r="H9" s="25">
        <v>514</v>
      </c>
      <c r="I9" s="25">
        <v>17</v>
      </c>
      <c r="J9" s="142">
        <v>174</v>
      </c>
      <c r="K9" s="25">
        <v>157</v>
      </c>
      <c r="L9" s="25">
        <v>17</v>
      </c>
      <c r="M9" s="142">
        <v>357</v>
      </c>
      <c r="N9" s="25">
        <v>357</v>
      </c>
      <c r="O9" s="25">
        <v>0</v>
      </c>
      <c r="P9" s="142">
        <v>140</v>
      </c>
      <c r="Q9" s="25">
        <v>140</v>
      </c>
      <c r="R9" s="25">
        <v>0</v>
      </c>
      <c r="S9" s="142">
        <v>217</v>
      </c>
      <c r="T9" s="25">
        <v>217</v>
      </c>
      <c r="U9" s="25">
        <v>0</v>
      </c>
      <c r="V9" s="142">
        <v>-538</v>
      </c>
      <c r="W9" s="25">
        <v>-453</v>
      </c>
      <c r="X9" s="25">
        <v>-86</v>
      </c>
      <c r="Y9" s="142">
        <v>-894</v>
      </c>
      <c r="Z9" s="25">
        <v>-786</v>
      </c>
      <c r="AA9" s="25">
        <v>-108</v>
      </c>
      <c r="AB9" s="142">
        <v>356</v>
      </c>
      <c r="AC9" s="25">
        <v>333</v>
      </c>
      <c r="AD9" s="25">
        <v>23</v>
      </c>
      <c r="AE9" s="142">
        <v>156</v>
      </c>
      <c r="AF9" s="25">
        <v>156</v>
      </c>
      <c r="AG9" s="25">
        <v>0</v>
      </c>
      <c r="AH9" s="142">
        <v>200</v>
      </c>
      <c r="AI9" s="25">
        <v>177</v>
      </c>
      <c r="AJ9" s="25">
        <v>23</v>
      </c>
      <c r="AK9" s="142">
        <v>105</v>
      </c>
      <c r="AL9" s="25">
        <v>82</v>
      </c>
      <c r="AM9" s="25">
        <v>23</v>
      </c>
      <c r="AO9" s="163"/>
    </row>
    <row r="10" spans="1:41" ht="15" customHeight="1">
      <c r="A10" s="170"/>
      <c r="B10" s="169"/>
      <c r="C10" s="168"/>
      <c r="D10" s="168"/>
      <c r="E10" s="167"/>
      <c r="F10" s="233" t="e">
        <f>INDEX(#REF!,MATCH(180055939,#REF!,0),Sy_nop)</f>
        <v>#REF!</v>
      </c>
      <c r="G10" s="238">
        <v>-277</v>
      </c>
      <c r="H10" s="216">
        <v>-294</v>
      </c>
      <c r="I10" s="216">
        <v>17</v>
      </c>
      <c r="J10" s="238">
        <v>-728</v>
      </c>
      <c r="K10" s="216">
        <v>-744</v>
      </c>
      <c r="L10" s="216">
        <v>17</v>
      </c>
      <c r="M10" s="238">
        <v>451</v>
      </c>
      <c r="N10" s="216">
        <v>451</v>
      </c>
      <c r="O10" s="216">
        <v>0</v>
      </c>
      <c r="P10" s="238">
        <v>222</v>
      </c>
      <c r="Q10" s="216">
        <v>222</v>
      </c>
      <c r="R10" s="216">
        <v>0</v>
      </c>
      <c r="S10" s="238">
        <v>228</v>
      </c>
      <c r="T10" s="216">
        <v>228</v>
      </c>
      <c r="U10" s="216">
        <v>0</v>
      </c>
      <c r="V10" s="238">
        <v>969</v>
      </c>
      <c r="W10" s="216">
        <v>1054</v>
      </c>
      <c r="X10" s="216">
        <v>-86</v>
      </c>
      <c r="Y10" s="238">
        <v>-532</v>
      </c>
      <c r="Z10" s="216">
        <v>-424</v>
      </c>
      <c r="AA10" s="216">
        <v>-108</v>
      </c>
      <c r="AB10" s="238">
        <v>1501</v>
      </c>
      <c r="AC10" s="216">
        <v>1478</v>
      </c>
      <c r="AD10" s="216">
        <v>23</v>
      </c>
      <c r="AE10" s="238">
        <v>571</v>
      </c>
      <c r="AF10" s="216">
        <v>570</v>
      </c>
      <c r="AG10" s="216">
        <v>0</v>
      </c>
      <c r="AH10" s="238">
        <v>930</v>
      </c>
      <c r="AI10" s="216">
        <v>908</v>
      </c>
      <c r="AJ10" s="216">
        <v>23</v>
      </c>
      <c r="AK10" s="238">
        <v>255</v>
      </c>
      <c r="AL10" s="216">
        <v>232</v>
      </c>
      <c r="AM10" s="216">
        <v>23</v>
      </c>
      <c r="AO10" s="163"/>
    </row>
    <row r="11" spans="1:41" ht="15" customHeight="1">
      <c r="A11" s="170"/>
      <c r="B11" s="169"/>
      <c r="C11" s="168"/>
      <c r="D11" s="168"/>
      <c r="E11" s="167"/>
      <c r="F11" s="62" t="e">
        <f>INDEX(#REF!,MATCH(24926776,#REF!,0),Sy_nop)</f>
        <v>#REF!</v>
      </c>
      <c r="G11" s="142">
        <v>297</v>
      </c>
      <c r="H11" s="25">
        <v>296</v>
      </c>
      <c r="I11" s="25">
        <v>1</v>
      </c>
      <c r="J11" s="142">
        <v>8</v>
      </c>
      <c r="K11" s="25">
        <v>8</v>
      </c>
      <c r="L11" s="25">
        <v>0</v>
      </c>
      <c r="M11" s="142">
        <v>288</v>
      </c>
      <c r="N11" s="25">
        <v>288</v>
      </c>
      <c r="O11" s="25">
        <v>0</v>
      </c>
      <c r="P11" s="142">
        <v>177</v>
      </c>
      <c r="Q11" s="25">
        <v>177</v>
      </c>
      <c r="R11" s="25">
        <v>0</v>
      </c>
      <c r="S11" s="142">
        <v>111</v>
      </c>
      <c r="T11" s="25">
        <v>111</v>
      </c>
      <c r="U11" s="25">
        <v>0</v>
      </c>
      <c r="V11" s="142">
        <v>719</v>
      </c>
      <c r="W11" s="25">
        <v>740</v>
      </c>
      <c r="X11" s="25">
        <v>-20</v>
      </c>
      <c r="Y11" s="142">
        <v>-38</v>
      </c>
      <c r="Z11" s="25">
        <v>-17</v>
      </c>
      <c r="AA11" s="25">
        <v>-20</v>
      </c>
      <c r="AB11" s="142">
        <v>757</v>
      </c>
      <c r="AC11" s="25">
        <v>757</v>
      </c>
      <c r="AD11" s="25">
        <v>0</v>
      </c>
      <c r="AE11" s="142">
        <v>287</v>
      </c>
      <c r="AF11" s="25">
        <v>287</v>
      </c>
      <c r="AG11" s="25">
        <v>0</v>
      </c>
      <c r="AH11" s="142">
        <v>470</v>
      </c>
      <c r="AI11" s="25">
        <v>470</v>
      </c>
      <c r="AJ11" s="25">
        <v>0</v>
      </c>
      <c r="AK11" s="142">
        <v>143</v>
      </c>
      <c r="AL11" s="25">
        <v>143</v>
      </c>
      <c r="AM11" s="25">
        <v>0</v>
      </c>
      <c r="AO11" s="163"/>
    </row>
    <row r="12" spans="1:41" ht="15" customHeight="1">
      <c r="A12" s="170"/>
      <c r="B12" s="169"/>
      <c r="C12" s="168"/>
      <c r="D12" s="168"/>
      <c r="E12" s="167"/>
      <c r="F12" s="234" t="e">
        <f>INDEX(#REF!,MATCH(-210482928,#REF!,0),Sy_nop)</f>
        <v>#REF!</v>
      </c>
      <c r="G12" s="142">
        <v>10</v>
      </c>
      <c r="H12" s="25">
        <v>11</v>
      </c>
      <c r="I12" s="25">
        <v>-1</v>
      </c>
      <c r="J12" s="142">
        <v>1</v>
      </c>
      <c r="K12" s="25">
        <v>1</v>
      </c>
      <c r="L12" s="25">
        <v>0</v>
      </c>
      <c r="M12" s="142">
        <v>10</v>
      </c>
      <c r="N12" s="25">
        <v>10</v>
      </c>
      <c r="O12" s="25">
        <v>-1</v>
      </c>
      <c r="P12" s="142">
        <v>20</v>
      </c>
      <c r="Q12" s="25">
        <v>20</v>
      </c>
      <c r="R12" s="25">
        <v>0</v>
      </c>
      <c r="S12" s="142">
        <v>-10</v>
      </c>
      <c r="T12" s="25">
        <v>-9</v>
      </c>
      <c r="U12" s="25">
        <v>0</v>
      </c>
      <c r="V12" s="142">
        <v>-260</v>
      </c>
      <c r="W12" s="25">
        <v>-212</v>
      </c>
      <c r="X12" s="25">
        <v>-48</v>
      </c>
      <c r="Y12" s="142">
        <v>-356</v>
      </c>
      <c r="Z12" s="25">
        <v>-285</v>
      </c>
      <c r="AA12" s="25">
        <v>-71</v>
      </c>
      <c r="AB12" s="142">
        <v>96</v>
      </c>
      <c r="AC12" s="25">
        <v>73</v>
      </c>
      <c r="AD12" s="25">
        <v>23</v>
      </c>
      <c r="AE12" s="142">
        <v>36</v>
      </c>
      <c r="AF12" s="25">
        <v>36</v>
      </c>
      <c r="AG12" s="25">
        <v>0</v>
      </c>
      <c r="AH12" s="142">
        <v>60</v>
      </c>
      <c r="AI12" s="25">
        <v>37</v>
      </c>
      <c r="AJ12" s="25">
        <v>23</v>
      </c>
      <c r="AK12" s="142">
        <v>34</v>
      </c>
      <c r="AL12" s="25">
        <v>11</v>
      </c>
      <c r="AM12" s="25">
        <v>23</v>
      </c>
      <c r="AO12" s="163"/>
    </row>
    <row r="13" spans="1:41" ht="15" customHeight="1">
      <c r="A13" s="170"/>
      <c r="B13" s="169"/>
      <c r="C13" s="168"/>
      <c r="D13" s="168"/>
      <c r="E13" s="167"/>
      <c r="F13" s="78" t="e">
        <f>INDEX(#REF!,MATCH(187026324,#REF!,0),Sy_nop)</f>
        <v>#REF!</v>
      </c>
      <c r="G13" s="146">
        <v>-1266</v>
      </c>
      <c r="H13" s="64">
        <v>-1283</v>
      </c>
      <c r="I13" s="64">
        <v>17</v>
      </c>
      <c r="J13" s="146">
        <v>-1073</v>
      </c>
      <c r="K13" s="64">
        <v>-1090</v>
      </c>
      <c r="L13" s="64">
        <v>17</v>
      </c>
      <c r="M13" s="146">
        <v>-193</v>
      </c>
      <c r="N13" s="64">
        <v>-194</v>
      </c>
      <c r="O13" s="64">
        <v>0</v>
      </c>
      <c r="P13" s="146">
        <v>-198</v>
      </c>
      <c r="Q13" s="64">
        <v>-198</v>
      </c>
      <c r="R13" s="64">
        <v>0</v>
      </c>
      <c r="S13" s="146">
        <v>4</v>
      </c>
      <c r="T13" s="64">
        <v>4</v>
      </c>
      <c r="U13" s="64">
        <v>0</v>
      </c>
      <c r="V13" s="146">
        <v>-908</v>
      </c>
      <c r="W13" s="64">
        <v>-822</v>
      </c>
      <c r="X13" s="64">
        <v>-86</v>
      </c>
      <c r="Y13" s="146">
        <v>-781</v>
      </c>
      <c r="Z13" s="64">
        <v>-672</v>
      </c>
      <c r="AA13" s="64">
        <v>-108</v>
      </c>
      <c r="AB13" s="146">
        <v>-127</v>
      </c>
      <c r="AC13" s="64">
        <v>-150</v>
      </c>
      <c r="AD13" s="64">
        <v>23</v>
      </c>
      <c r="AE13" s="146">
        <v>-23</v>
      </c>
      <c r="AF13" s="64">
        <v>-23</v>
      </c>
      <c r="AG13" s="64">
        <v>0</v>
      </c>
      <c r="AH13" s="146">
        <v>-104</v>
      </c>
      <c r="AI13" s="64">
        <v>-127</v>
      </c>
      <c r="AJ13" s="64">
        <v>23</v>
      </c>
      <c r="AK13" s="146">
        <v>-130</v>
      </c>
      <c r="AL13" s="64">
        <v>-153</v>
      </c>
      <c r="AM13" s="64">
        <v>23</v>
      </c>
      <c r="AO13" s="163"/>
    </row>
    <row r="14" spans="1:41" ht="15" customHeight="1">
      <c r="A14" s="170"/>
      <c r="B14" s="169"/>
      <c r="C14" s="168"/>
      <c r="D14" s="168"/>
      <c r="E14" s="167"/>
      <c r="F14" s="100" t="e">
        <f>INDEX(#REF!,MATCH(-76360949,#REF!,0),Sy_nop)</f>
        <v>#REF!</v>
      </c>
      <c r="G14" s="142">
        <v>-1278</v>
      </c>
      <c r="H14" s="25">
        <v>-1295</v>
      </c>
      <c r="I14" s="25">
        <v>17</v>
      </c>
      <c r="J14" s="142">
        <v>-1071</v>
      </c>
      <c r="K14" s="25">
        <v>-1088</v>
      </c>
      <c r="L14" s="25">
        <v>17</v>
      </c>
      <c r="M14" s="142">
        <v>-207</v>
      </c>
      <c r="N14" s="25">
        <v>-207</v>
      </c>
      <c r="O14" s="25">
        <v>0</v>
      </c>
      <c r="P14" s="142">
        <v>-206</v>
      </c>
      <c r="Q14" s="25">
        <v>-206</v>
      </c>
      <c r="R14" s="25">
        <v>0</v>
      </c>
      <c r="S14" s="142">
        <v>-1</v>
      </c>
      <c r="T14" s="25">
        <v>-1</v>
      </c>
      <c r="U14" s="25">
        <v>0</v>
      </c>
      <c r="V14" s="142">
        <v>-833</v>
      </c>
      <c r="W14" s="25">
        <v>-724</v>
      </c>
      <c r="X14" s="25">
        <v>-109</v>
      </c>
      <c r="Y14" s="142">
        <v>-699</v>
      </c>
      <c r="Z14" s="25">
        <v>-590</v>
      </c>
      <c r="AA14" s="25">
        <v>-109</v>
      </c>
      <c r="AB14" s="142">
        <v>-134</v>
      </c>
      <c r="AC14" s="25">
        <v>-134</v>
      </c>
      <c r="AD14" s="25">
        <v>0</v>
      </c>
      <c r="AE14" s="142">
        <v>-1</v>
      </c>
      <c r="AF14" s="25">
        <v>-1</v>
      </c>
      <c r="AG14" s="25">
        <v>0</v>
      </c>
      <c r="AH14" s="142">
        <v>-133</v>
      </c>
      <c r="AI14" s="25">
        <v>-133</v>
      </c>
      <c r="AJ14" s="25">
        <v>0</v>
      </c>
      <c r="AK14" s="142">
        <v>-132</v>
      </c>
      <c r="AL14" s="25">
        <v>-132</v>
      </c>
      <c r="AM14" s="25">
        <v>0</v>
      </c>
      <c r="AO14" s="163"/>
    </row>
    <row r="15" spans="1:41" ht="15" customHeight="1">
      <c r="A15" s="170"/>
      <c r="B15" s="169"/>
      <c r="C15" s="168"/>
      <c r="D15" s="168"/>
      <c r="E15" s="167"/>
      <c r="F15" s="237" t="e">
        <f>INDEX(#REF!,MATCH(140740712,#REF!,0),Sy_nop)</f>
        <v>#REF!</v>
      </c>
      <c r="G15" s="142">
        <v>0</v>
      </c>
      <c r="H15" s="25">
        <v>0</v>
      </c>
      <c r="I15" s="25">
        <v>0</v>
      </c>
      <c r="J15" s="142">
        <v>0</v>
      </c>
      <c r="K15" s="25">
        <v>0</v>
      </c>
      <c r="L15" s="25">
        <v>0</v>
      </c>
      <c r="M15" s="142">
        <v>0</v>
      </c>
      <c r="N15" s="25">
        <v>0</v>
      </c>
      <c r="O15" s="25">
        <v>0</v>
      </c>
      <c r="P15" s="142">
        <v>0</v>
      </c>
      <c r="Q15" s="25">
        <v>0</v>
      </c>
      <c r="R15" s="25">
        <v>0</v>
      </c>
      <c r="S15" s="142">
        <v>0</v>
      </c>
      <c r="T15" s="25">
        <v>0</v>
      </c>
      <c r="U15" s="25">
        <v>0</v>
      </c>
      <c r="V15" s="142">
        <v>-20</v>
      </c>
      <c r="W15" s="25">
        <v>-43</v>
      </c>
      <c r="X15" s="25">
        <v>24</v>
      </c>
      <c r="Y15" s="142">
        <v>-21</v>
      </c>
      <c r="Z15" s="25">
        <v>-22</v>
      </c>
      <c r="AA15" s="25">
        <v>0</v>
      </c>
      <c r="AB15" s="142">
        <v>2</v>
      </c>
      <c r="AC15" s="25">
        <v>-22</v>
      </c>
      <c r="AD15" s="25">
        <v>23</v>
      </c>
      <c r="AE15" s="142">
        <v>-4</v>
      </c>
      <c r="AF15" s="25">
        <v>-4</v>
      </c>
      <c r="AG15" s="25">
        <v>0</v>
      </c>
      <c r="AH15" s="142">
        <v>5</v>
      </c>
      <c r="AI15" s="25">
        <v>-17</v>
      </c>
      <c r="AJ15" s="25">
        <v>23</v>
      </c>
      <c r="AK15" s="142">
        <v>-4</v>
      </c>
      <c r="AL15" s="25">
        <v>-27</v>
      </c>
      <c r="AM15" s="25">
        <v>23</v>
      </c>
      <c r="AO15" s="163"/>
    </row>
    <row r="16" spans="1:41" ht="15" customHeight="1">
      <c r="A16" s="170"/>
      <c r="B16" s="169"/>
      <c r="C16" s="168"/>
      <c r="D16" s="168"/>
      <c r="E16" s="167"/>
      <c r="F16" s="211" t="e">
        <f>INDEX(#REF!,MATCH(84606593,#REF!,0),Sy_nop)</f>
        <v>#REF!</v>
      </c>
      <c r="G16" s="239">
        <v>-199</v>
      </c>
      <c r="H16" s="205">
        <v>-215</v>
      </c>
      <c r="I16" s="205">
        <v>17</v>
      </c>
      <c r="J16" s="239">
        <v>-719</v>
      </c>
      <c r="K16" s="205">
        <v>-735</v>
      </c>
      <c r="L16" s="205">
        <v>17</v>
      </c>
      <c r="M16" s="239">
        <v>520</v>
      </c>
      <c r="N16" s="205">
        <v>520</v>
      </c>
      <c r="O16" s="205">
        <v>0</v>
      </c>
      <c r="P16" s="239">
        <v>314</v>
      </c>
      <c r="Q16" s="205">
        <v>314</v>
      </c>
      <c r="R16" s="205">
        <v>0</v>
      </c>
      <c r="S16" s="239">
        <v>206</v>
      </c>
      <c r="T16" s="205">
        <v>206</v>
      </c>
      <c r="U16" s="205">
        <v>0</v>
      </c>
      <c r="V16" s="239">
        <v>792</v>
      </c>
      <c r="W16" s="205">
        <v>878</v>
      </c>
      <c r="X16" s="205">
        <v>-86</v>
      </c>
      <c r="Y16" s="239">
        <v>-602</v>
      </c>
      <c r="Z16" s="205">
        <v>-493</v>
      </c>
      <c r="AA16" s="205">
        <v>-108</v>
      </c>
      <c r="AB16" s="239">
        <v>1394</v>
      </c>
      <c r="AC16" s="205">
        <v>1371</v>
      </c>
      <c r="AD16" s="205">
        <v>23</v>
      </c>
      <c r="AE16" s="239">
        <v>540</v>
      </c>
      <c r="AF16" s="205">
        <v>539</v>
      </c>
      <c r="AG16" s="205">
        <v>0</v>
      </c>
      <c r="AH16" s="239">
        <v>854</v>
      </c>
      <c r="AI16" s="205">
        <v>831</v>
      </c>
      <c r="AJ16" s="205">
        <v>23</v>
      </c>
      <c r="AK16" s="239">
        <v>242</v>
      </c>
      <c r="AL16" s="205">
        <v>219</v>
      </c>
      <c r="AM16" s="205">
        <v>23</v>
      </c>
      <c r="AO16" s="163"/>
    </row>
    <row r="17" spans="1:41" ht="15" customHeight="1">
      <c r="A17" s="170"/>
      <c r="B17" s="169"/>
      <c r="C17" s="168"/>
      <c r="D17" s="168"/>
      <c r="E17" s="167"/>
      <c r="F17" s="32" t="e">
        <f>INDEX(#REF!,MATCH(-98366283,#REF!,0),Sy_nop)</f>
        <v>#REF!</v>
      </c>
      <c r="G17" s="142">
        <v>52</v>
      </c>
      <c r="H17" s="25">
        <v>36</v>
      </c>
      <c r="I17" s="25">
        <v>16</v>
      </c>
      <c r="J17" s="142">
        <v>-461</v>
      </c>
      <c r="K17" s="25">
        <v>-477</v>
      </c>
      <c r="L17" s="25">
        <v>16</v>
      </c>
      <c r="M17" s="142">
        <v>513</v>
      </c>
      <c r="N17" s="25">
        <v>513</v>
      </c>
      <c r="O17" s="25">
        <v>0</v>
      </c>
      <c r="P17" s="142">
        <v>292</v>
      </c>
      <c r="Q17" s="25">
        <v>292</v>
      </c>
      <c r="R17" s="25">
        <v>0</v>
      </c>
      <c r="S17" s="142">
        <v>221</v>
      </c>
      <c r="T17" s="25">
        <v>221</v>
      </c>
      <c r="U17" s="25">
        <v>0</v>
      </c>
      <c r="V17" s="142">
        <v>527</v>
      </c>
      <c r="W17" s="25">
        <v>613</v>
      </c>
      <c r="X17" s="25">
        <v>-86</v>
      </c>
      <c r="Y17" s="142">
        <v>-448</v>
      </c>
      <c r="Z17" s="25">
        <v>-344</v>
      </c>
      <c r="AA17" s="25">
        <v>-105</v>
      </c>
      <c r="AB17" s="142">
        <v>975</v>
      </c>
      <c r="AC17" s="25">
        <v>957</v>
      </c>
      <c r="AD17" s="25">
        <v>18</v>
      </c>
      <c r="AE17" s="142">
        <v>345</v>
      </c>
      <c r="AF17" s="25">
        <v>344</v>
      </c>
      <c r="AG17" s="25">
        <v>0</v>
      </c>
      <c r="AH17" s="142">
        <v>631</v>
      </c>
      <c r="AI17" s="25">
        <v>613</v>
      </c>
      <c r="AJ17" s="25">
        <v>18</v>
      </c>
      <c r="AK17" s="142">
        <v>193</v>
      </c>
      <c r="AL17" s="25">
        <v>175</v>
      </c>
      <c r="AM17" s="25">
        <v>18</v>
      </c>
      <c r="AO17" s="163"/>
    </row>
    <row r="18" spans="1:41" ht="15" customHeight="1">
      <c r="A18" s="170"/>
      <c r="B18" s="169"/>
      <c r="C18" s="168"/>
      <c r="D18" s="168"/>
      <c r="E18" s="167"/>
      <c r="F18" s="78" t="e">
        <f>INDEX(#REF!,MATCH(-28104556,#REF!,0),Sy_nop)</f>
        <v>#REF!</v>
      </c>
      <c r="G18" s="142">
        <v>-84</v>
      </c>
      <c r="H18" s="25">
        <v>-100</v>
      </c>
      <c r="I18" s="25">
        <v>16</v>
      </c>
      <c r="J18" s="142">
        <v>-456</v>
      </c>
      <c r="K18" s="25">
        <v>-472</v>
      </c>
      <c r="L18" s="25">
        <v>16</v>
      </c>
      <c r="M18" s="142">
        <v>372</v>
      </c>
      <c r="N18" s="25">
        <v>372</v>
      </c>
      <c r="O18" s="25">
        <v>0</v>
      </c>
      <c r="P18" s="142">
        <v>209</v>
      </c>
      <c r="Q18" s="25">
        <v>209</v>
      </c>
      <c r="R18" s="25">
        <v>0</v>
      </c>
      <c r="S18" s="142">
        <v>163</v>
      </c>
      <c r="T18" s="25">
        <v>163</v>
      </c>
      <c r="U18" s="25">
        <v>0</v>
      </c>
      <c r="V18" s="142">
        <v>278</v>
      </c>
      <c r="W18" s="25">
        <v>357</v>
      </c>
      <c r="X18" s="25">
        <v>-79</v>
      </c>
      <c r="Y18" s="142">
        <v>-404</v>
      </c>
      <c r="Z18" s="25">
        <v>-308</v>
      </c>
      <c r="AA18" s="25">
        <v>-96</v>
      </c>
      <c r="AB18" s="142">
        <v>683</v>
      </c>
      <c r="AC18" s="25">
        <v>665</v>
      </c>
      <c r="AD18" s="25">
        <v>18</v>
      </c>
      <c r="AE18" s="142">
        <v>232</v>
      </c>
      <c r="AF18" s="25">
        <v>232</v>
      </c>
      <c r="AG18" s="25">
        <v>0</v>
      </c>
      <c r="AH18" s="142">
        <v>450</v>
      </c>
      <c r="AI18" s="25">
        <v>433</v>
      </c>
      <c r="AJ18" s="25">
        <v>18</v>
      </c>
      <c r="AK18" s="142">
        <v>150</v>
      </c>
      <c r="AL18" s="25">
        <v>132</v>
      </c>
      <c r="AM18" s="25">
        <v>18</v>
      </c>
      <c r="AO18" s="163"/>
    </row>
    <row r="19" spans="1:41" ht="15" customHeight="1">
      <c r="A19" s="170"/>
      <c r="B19" s="169"/>
      <c r="C19" s="168"/>
      <c r="D19" s="168"/>
      <c r="E19" s="167"/>
      <c r="F19" s="211" t="e">
        <f>INDEX(#REF!,MATCH(157983574,#REF!,0),Sy_nop)</f>
        <v>#REF!</v>
      </c>
      <c r="G19" s="240">
        <v>-0.26</v>
      </c>
      <c r="H19" s="60">
        <v>-0.31</v>
      </c>
      <c r="I19" s="60">
        <v>0.05</v>
      </c>
      <c r="J19" s="240">
        <v>-1.4</v>
      </c>
      <c r="K19" s="60">
        <v>-1.45</v>
      </c>
      <c r="L19" s="60">
        <v>0.05</v>
      </c>
      <c r="M19" s="240">
        <v>1.1399999999999999</v>
      </c>
      <c r="N19" s="60">
        <v>1.1399999999999999</v>
      </c>
      <c r="O19" s="60">
        <v>0</v>
      </c>
      <c r="P19" s="240">
        <v>0.64</v>
      </c>
      <c r="Q19" s="60">
        <v>0.64</v>
      </c>
      <c r="R19" s="60">
        <v>0</v>
      </c>
      <c r="S19" s="240">
        <v>0.5</v>
      </c>
      <c r="T19" s="60">
        <v>0.5</v>
      </c>
      <c r="U19" s="60">
        <v>0</v>
      </c>
      <c r="V19" s="240">
        <v>0.85</v>
      </c>
      <c r="W19" s="60">
        <v>1.0900000000000001</v>
      </c>
      <c r="X19" s="60">
        <v>-0.24</v>
      </c>
      <c r="Y19" s="240">
        <v>-1.24</v>
      </c>
      <c r="Z19" s="60">
        <v>-0.94</v>
      </c>
      <c r="AA19" s="60">
        <v>-0.3</v>
      </c>
      <c r="AB19" s="240">
        <v>2.09</v>
      </c>
      <c r="AC19" s="60">
        <v>2.04</v>
      </c>
      <c r="AD19" s="60">
        <v>0.05</v>
      </c>
      <c r="AE19" s="240">
        <v>0.71</v>
      </c>
      <c r="AF19" s="60">
        <v>0.71</v>
      </c>
      <c r="AG19" s="60">
        <v>0</v>
      </c>
      <c r="AH19" s="240">
        <v>1.38</v>
      </c>
      <c r="AI19" s="60">
        <v>1.33</v>
      </c>
      <c r="AJ19" s="60">
        <v>0.05</v>
      </c>
      <c r="AK19" s="240">
        <v>0.46</v>
      </c>
      <c r="AL19" s="60">
        <v>0.4</v>
      </c>
      <c r="AM19" s="60">
        <v>0.05</v>
      </c>
      <c r="AO19" s="163"/>
    </row>
    <row r="20" spans="1:41" ht="15" customHeight="1">
      <c r="A20" s="170"/>
      <c r="B20" s="169"/>
      <c r="C20" s="168"/>
      <c r="D20" s="168"/>
      <c r="E20" s="167"/>
      <c r="F20" s="77" t="e">
        <f>INDEX(#REF!,MATCH(-166052130,#REF!,0),Sy_nop)</f>
        <v>#REF!</v>
      </c>
      <c r="G20" s="142">
        <v>39</v>
      </c>
      <c r="H20" s="25">
        <v>38</v>
      </c>
      <c r="I20" s="25">
        <v>0</v>
      </c>
      <c r="J20" s="142">
        <v>39</v>
      </c>
      <c r="K20" s="25">
        <v>38</v>
      </c>
      <c r="L20" s="25">
        <v>0</v>
      </c>
      <c r="M20" s="142">
        <v>40</v>
      </c>
      <c r="N20" s="25">
        <v>40</v>
      </c>
      <c r="O20" s="25">
        <v>0</v>
      </c>
      <c r="P20" s="142">
        <v>40</v>
      </c>
      <c r="Q20" s="25">
        <v>40</v>
      </c>
      <c r="R20" s="25">
        <v>0</v>
      </c>
      <c r="S20" s="142">
        <v>35</v>
      </c>
      <c r="T20" s="25">
        <v>35</v>
      </c>
      <c r="U20" s="25">
        <v>0</v>
      </c>
      <c r="V20" s="142">
        <v>34</v>
      </c>
      <c r="W20" s="25">
        <v>34</v>
      </c>
      <c r="X20" s="25">
        <v>0</v>
      </c>
      <c r="Y20" s="142">
        <v>34</v>
      </c>
      <c r="Z20" s="25">
        <v>34</v>
      </c>
      <c r="AA20" s="25">
        <v>0</v>
      </c>
      <c r="AB20" s="142">
        <v>35</v>
      </c>
      <c r="AC20" s="25">
        <v>35</v>
      </c>
      <c r="AD20" s="25">
        <v>0</v>
      </c>
      <c r="AE20" s="142">
        <v>35</v>
      </c>
      <c r="AF20" s="25">
        <v>35</v>
      </c>
      <c r="AG20" s="25">
        <v>0</v>
      </c>
      <c r="AH20" s="142">
        <v>33</v>
      </c>
      <c r="AI20" s="25">
        <v>33</v>
      </c>
      <c r="AJ20" s="25">
        <v>0</v>
      </c>
      <c r="AK20" s="142">
        <v>33</v>
      </c>
      <c r="AL20" s="25">
        <v>33</v>
      </c>
      <c r="AM20" s="25">
        <v>0</v>
      </c>
      <c r="AO20" s="163"/>
    </row>
    <row r="21" spans="1:41" ht="15" customHeight="1">
      <c r="A21" s="170"/>
      <c r="B21" s="169"/>
      <c r="C21" s="168"/>
      <c r="D21" s="168"/>
      <c r="E21" s="167"/>
      <c r="F21" s="211" t="e">
        <f>INDEX(#REF!,MATCH(96743635,#REF!,0),Sy_nop)</f>
        <v>#REF!</v>
      </c>
      <c r="G21" s="239">
        <v>-4</v>
      </c>
      <c r="H21" s="205">
        <v>-3</v>
      </c>
      <c r="I21" s="205">
        <v>0</v>
      </c>
      <c r="J21" s="239" t="s">
        <v>180</v>
      </c>
      <c r="K21" s="205" t="s">
        <v>180</v>
      </c>
      <c r="L21" s="205" t="s">
        <v>180</v>
      </c>
      <c r="M21" s="239">
        <v>2</v>
      </c>
      <c r="N21" s="205">
        <v>3</v>
      </c>
      <c r="O21" s="205">
        <v>0</v>
      </c>
      <c r="P21" s="239"/>
      <c r="Q21" s="205"/>
      <c r="R21" s="205"/>
      <c r="S21" s="239">
        <v>2</v>
      </c>
      <c r="T21" s="205">
        <v>3</v>
      </c>
      <c r="U21" s="205">
        <v>0</v>
      </c>
      <c r="V21" s="239">
        <v>5</v>
      </c>
      <c r="W21" s="205">
        <v>5</v>
      </c>
      <c r="X21" s="205">
        <v>0</v>
      </c>
      <c r="Y21" s="239" t="s">
        <v>180</v>
      </c>
      <c r="Z21" s="205" t="s">
        <v>180</v>
      </c>
      <c r="AA21" s="205" t="s">
        <v>180</v>
      </c>
      <c r="AB21" s="239">
        <v>8</v>
      </c>
      <c r="AC21" s="205">
        <v>8</v>
      </c>
      <c r="AD21" s="205">
        <v>0</v>
      </c>
      <c r="AE21" s="239"/>
      <c r="AF21" s="205"/>
      <c r="AG21" s="205"/>
      <c r="AH21" s="239">
        <v>8</v>
      </c>
      <c r="AI21" s="205">
        <v>8</v>
      </c>
      <c r="AJ21" s="205">
        <v>0</v>
      </c>
      <c r="AK21" s="239"/>
      <c r="AL21" s="205"/>
      <c r="AM21" s="205"/>
      <c r="AO21" s="163"/>
    </row>
    <row r="22" spans="1:41" ht="15" customHeight="1">
      <c r="A22" s="170"/>
      <c r="B22" s="169"/>
      <c r="C22" s="168"/>
      <c r="D22" s="168"/>
      <c r="E22" s="167"/>
      <c r="F22" s="32" t="e">
        <f>INDEX(#REF!,MATCH(186986679,#REF!,0),Sy_nop)</f>
        <v>#REF!</v>
      </c>
      <c r="G22" s="142">
        <v>-1</v>
      </c>
      <c r="H22" s="25">
        <v>-1</v>
      </c>
      <c r="I22" s="25">
        <v>0</v>
      </c>
      <c r="J22" s="142" t="s">
        <v>180</v>
      </c>
      <c r="K22" s="25" t="s">
        <v>180</v>
      </c>
      <c r="L22" s="25" t="s">
        <v>180</v>
      </c>
      <c r="M22" s="142">
        <v>2</v>
      </c>
      <c r="N22" s="25">
        <v>3</v>
      </c>
      <c r="O22" s="25">
        <v>-1</v>
      </c>
      <c r="P22" s="142"/>
      <c r="Q22" s="25"/>
      <c r="R22" s="25"/>
      <c r="S22" s="142">
        <v>2</v>
      </c>
      <c r="T22" s="25">
        <v>2</v>
      </c>
      <c r="U22" s="25">
        <v>0</v>
      </c>
      <c r="V22" s="142">
        <v>3</v>
      </c>
      <c r="W22" s="25">
        <v>4</v>
      </c>
      <c r="X22" s="25">
        <v>0</v>
      </c>
      <c r="Y22" s="142" t="s">
        <v>180</v>
      </c>
      <c r="Z22" s="25" t="s">
        <v>180</v>
      </c>
      <c r="AA22" s="25" t="s">
        <v>180</v>
      </c>
      <c r="AB22" s="142">
        <v>6</v>
      </c>
      <c r="AC22" s="25">
        <v>6</v>
      </c>
      <c r="AD22" s="25">
        <v>0</v>
      </c>
      <c r="AE22" s="142"/>
      <c r="AF22" s="25"/>
      <c r="AG22" s="25"/>
      <c r="AH22" s="142">
        <v>7</v>
      </c>
      <c r="AI22" s="25">
        <v>7</v>
      </c>
      <c r="AJ22" s="25">
        <v>0</v>
      </c>
      <c r="AK22" s="142"/>
      <c r="AL22" s="25"/>
      <c r="AM22" s="25"/>
      <c r="AO22" s="163"/>
    </row>
    <row r="23" spans="1:41" ht="15" customHeight="1">
      <c r="A23" s="170"/>
      <c r="B23" s="169"/>
      <c r="C23" s="168"/>
      <c r="D23" s="168"/>
      <c r="E23" s="167"/>
      <c r="F23" s="235" t="e">
        <f>INDEX(#REF!,MATCH(211191,#REF!,0),Sy_nop)</f>
        <v>#REF!</v>
      </c>
      <c r="G23" s="142">
        <v>9</v>
      </c>
      <c r="H23" s="25">
        <v>9</v>
      </c>
      <c r="I23" s="25">
        <v>0</v>
      </c>
      <c r="J23" s="142" t="s">
        <v>180</v>
      </c>
      <c r="K23" s="25" t="s">
        <v>180</v>
      </c>
      <c r="L23" s="25" t="s">
        <v>180</v>
      </c>
      <c r="M23" s="142">
        <v>8</v>
      </c>
      <c r="N23" s="25">
        <v>8</v>
      </c>
      <c r="O23" s="25">
        <v>0</v>
      </c>
      <c r="P23" s="142"/>
      <c r="Q23" s="25"/>
      <c r="R23" s="25"/>
      <c r="S23" s="142">
        <v>8</v>
      </c>
      <c r="T23" s="25">
        <v>8</v>
      </c>
      <c r="U23" s="25">
        <v>0</v>
      </c>
      <c r="V23" s="142">
        <v>9</v>
      </c>
      <c r="W23" s="25">
        <v>9</v>
      </c>
      <c r="X23" s="25">
        <v>0</v>
      </c>
      <c r="Y23" s="142" t="s">
        <v>180</v>
      </c>
      <c r="Z23" s="25" t="s">
        <v>180</v>
      </c>
      <c r="AA23" s="25" t="s">
        <v>180</v>
      </c>
      <c r="AB23" s="142">
        <v>9</v>
      </c>
      <c r="AC23" s="25">
        <v>9</v>
      </c>
      <c r="AD23" s="25">
        <v>0</v>
      </c>
      <c r="AE23" s="142"/>
      <c r="AF23" s="25"/>
      <c r="AG23" s="25"/>
      <c r="AH23" s="142">
        <v>9</v>
      </c>
      <c r="AI23" s="25">
        <v>9</v>
      </c>
      <c r="AJ23" s="25">
        <v>0</v>
      </c>
      <c r="AK23" s="142"/>
      <c r="AL23" s="25"/>
      <c r="AM23" s="25"/>
      <c r="AO23" s="163"/>
    </row>
    <row r="24" spans="1:41" ht="15" customHeight="1">
      <c r="A24" s="170"/>
      <c r="B24" s="169"/>
      <c r="C24" s="168"/>
      <c r="D24" s="168"/>
      <c r="E24" s="167"/>
      <c r="F24" s="33" t="e">
        <f>INDEX(#REF!,MATCH(22826487,#REF!,0),Sy_nop)</f>
        <v>#REF!</v>
      </c>
      <c r="G24" s="142">
        <v>-3</v>
      </c>
      <c r="H24" s="25">
        <v>-2</v>
      </c>
      <c r="I24" s="25">
        <v>-1</v>
      </c>
      <c r="J24" s="142" t="s">
        <v>180</v>
      </c>
      <c r="K24" s="25" t="s">
        <v>180</v>
      </c>
      <c r="L24" s="25" t="s">
        <v>180</v>
      </c>
      <c r="M24" s="142">
        <v>3</v>
      </c>
      <c r="N24" s="25">
        <v>3</v>
      </c>
      <c r="O24" s="25">
        <v>-1</v>
      </c>
      <c r="P24" s="142"/>
      <c r="Q24" s="25"/>
      <c r="R24" s="25"/>
      <c r="S24" s="142">
        <v>2</v>
      </c>
      <c r="T24" s="25">
        <v>3</v>
      </c>
      <c r="U24" s="25">
        <v>-1</v>
      </c>
      <c r="V24" s="142">
        <v>4</v>
      </c>
      <c r="W24" s="25">
        <v>4</v>
      </c>
      <c r="X24" s="25">
        <v>-1</v>
      </c>
      <c r="Y24" s="142" t="s">
        <v>180</v>
      </c>
      <c r="Z24" s="25" t="s">
        <v>180</v>
      </c>
      <c r="AA24" s="25" t="s">
        <v>180</v>
      </c>
      <c r="AB24" s="142">
        <v>7</v>
      </c>
      <c r="AC24" s="25">
        <v>7</v>
      </c>
      <c r="AD24" s="25">
        <v>0</v>
      </c>
      <c r="AE24" s="142"/>
      <c r="AF24" s="25"/>
      <c r="AG24" s="25"/>
      <c r="AH24" s="142">
        <v>7</v>
      </c>
      <c r="AI24" s="25">
        <v>7</v>
      </c>
      <c r="AJ24" s="25">
        <v>0</v>
      </c>
      <c r="AK24" s="142"/>
      <c r="AL24" s="25"/>
      <c r="AM24" s="25"/>
      <c r="AO24" s="163"/>
    </row>
    <row r="25" spans="1:41" ht="15" customHeight="1" thickBot="1">
      <c r="A25" s="170"/>
      <c r="B25" s="169"/>
      <c r="C25" s="168"/>
      <c r="D25" s="168"/>
      <c r="E25" s="167"/>
      <c r="F25" s="77" t="e">
        <f>INDEX(#REF!,MATCH(205861224,#REF!,0),Sy_nop)</f>
        <v>#REF!</v>
      </c>
      <c r="G25" s="239">
        <v>126</v>
      </c>
      <c r="H25" s="205">
        <v>117</v>
      </c>
      <c r="I25" s="205">
        <v>10</v>
      </c>
      <c r="J25" s="239">
        <v>36</v>
      </c>
      <c r="K25" s="205">
        <v>35</v>
      </c>
      <c r="L25" s="205">
        <v>1</v>
      </c>
      <c r="M25" s="239">
        <v>1</v>
      </c>
      <c r="N25" s="205">
        <v>1</v>
      </c>
      <c r="O25" s="205">
        <v>0</v>
      </c>
      <c r="P25" s="239">
        <v>7</v>
      </c>
      <c r="Q25" s="205">
        <v>7</v>
      </c>
      <c r="R25" s="205">
        <v>0</v>
      </c>
      <c r="S25" s="239">
        <v>-8</v>
      </c>
      <c r="T25" s="205">
        <v>-8</v>
      </c>
      <c r="U25" s="205">
        <v>0</v>
      </c>
      <c r="V25" s="239">
        <v>33</v>
      </c>
      <c r="W25" s="205">
        <v>30</v>
      </c>
      <c r="X25" s="205">
        <v>3</v>
      </c>
      <c r="Y25" s="239">
        <v>26</v>
      </c>
      <c r="Z25" s="205">
        <v>30</v>
      </c>
      <c r="AA25" s="205">
        <v>-5</v>
      </c>
      <c r="AB25" s="239">
        <v>30</v>
      </c>
      <c r="AC25" s="205">
        <v>30</v>
      </c>
      <c r="AD25" s="205">
        <v>0</v>
      </c>
      <c r="AE25" s="239">
        <v>36</v>
      </c>
      <c r="AF25" s="205">
        <v>36</v>
      </c>
      <c r="AG25" s="205">
        <v>0</v>
      </c>
      <c r="AH25" s="239">
        <v>26</v>
      </c>
      <c r="AI25" s="205">
        <v>26</v>
      </c>
      <c r="AJ25" s="205">
        <v>0</v>
      </c>
      <c r="AK25" s="239">
        <v>20</v>
      </c>
      <c r="AL25" s="205">
        <v>20</v>
      </c>
      <c r="AM25" s="205">
        <v>0</v>
      </c>
      <c r="AO25" s="163"/>
    </row>
    <row r="26" spans="1:41" ht="15" customHeight="1" thickTop="1">
      <c r="A26" s="170"/>
      <c r="B26" s="169"/>
      <c r="C26" s="168"/>
      <c r="D26" s="168"/>
      <c r="E26" s="167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O26" s="163"/>
    </row>
    <row r="27" spans="1:41" ht="15" customHeight="1">
      <c r="A27" s="170"/>
      <c r="B27" s="169"/>
      <c r="C27" s="168"/>
      <c r="D27" s="168"/>
      <c r="E27" s="167"/>
      <c r="F27" s="236" t="s">
        <v>379</v>
      </c>
      <c r="AO27" s="163"/>
    </row>
    <row r="28" spans="1:41" ht="15" customHeight="1">
      <c r="A28" s="170"/>
      <c r="B28" s="169"/>
      <c r="C28" s="168"/>
      <c r="D28" s="168"/>
      <c r="E28" s="167"/>
      <c r="F28" s="236" t="s">
        <v>380</v>
      </c>
      <c r="AO28" s="163"/>
    </row>
    <row r="29" spans="1:41" ht="15" customHeight="1">
      <c r="A29" s="170"/>
      <c r="B29" s="169"/>
      <c r="C29" s="168"/>
      <c r="D29" s="168"/>
      <c r="E29" s="167"/>
      <c r="F29" s="236" t="s">
        <v>381</v>
      </c>
      <c r="AO29" s="163"/>
    </row>
  </sheetData>
  <conditionalFormatting sqref="AM26:AM29 AJ26:AJ29 AG26:AG29 AD26:AD29 AA26:AA29 X26:X29 U26:U29 R26:R29 O26:O29 L26:L29 I26:I29">
    <cfRule type="cellIs" dxfId="1" priority="1" operator="notEqual">
      <formula>0</formula>
    </cfRule>
  </conditionalFormatting>
  <pageMargins left="0.70866141732283472" right="0.70866141732283472" top="0.78740157480314965" bottom="0.78740157480314965" header="0.31496062992125984" footer="0.31496062992125984"/>
  <pageSetup paperSize="9" scale="60" fitToHeight="2" orientation="landscape" r:id="rId1"/>
  <rowBreaks count="1" manualBreakCount="1">
    <brk id="1" max="16383" man="1"/>
  </rowBreaks>
  <colBreaks count="3" manualBreakCount="3">
    <brk id="15" max="1048575" man="1"/>
    <brk id="24" max="1048575" man="1"/>
    <brk id="33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AJ134"/>
  <sheetViews>
    <sheetView zoomScaleNormal="100" zoomScaleSheetLayoutView="70" workbookViewId="0">
      <selection activeCell="D35" sqref="D35"/>
    </sheetView>
  </sheetViews>
  <sheetFormatPr defaultColWidth="11.42578125" defaultRowHeight="15" customHeight="1" outlineLevelCol="1"/>
  <cols>
    <col min="1" max="1" width="49.85546875" customWidth="1"/>
    <col min="2" max="4" width="11.42578125" customWidth="1" outlineLevel="1"/>
    <col min="5" max="7" width="11.42578125" customWidth="1"/>
    <col min="8" max="16" width="11.42578125" customWidth="1" outlineLevel="1"/>
    <col min="17" max="22" width="11.42578125" customWidth="1"/>
    <col min="23" max="34" width="11.42578125" customWidth="1" outlineLevel="1"/>
  </cols>
  <sheetData>
    <row r="1" spans="1:36" ht="13.5" customHeight="1">
      <c r="A1" s="1" t="s">
        <v>273</v>
      </c>
    </row>
    <row r="2" spans="1:36" ht="13.5" customHeight="1">
      <c r="A2" s="40" t="s">
        <v>23</v>
      </c>
    </row>
    <row r="3" spans="1:36" ht="30" customHeight="1">
      <c r="B3" s="251" t="e">
        <f>INDEX(#REF!,MATCH(-174564184,#REF!,0),Sy_nop)</f>
        <v>#REF!</v>
      </c>
      <c r="C3" s="252" t="e">
        <f>INDEX(#REF!,MATCH(-187872572,#REF!,0),Sy_nop)</f>
        <v>#REF!</v>
      </c>
      <c r="D3" s="253" t="s">
        <v>275</v>
      </c>
      <c r="E3" s="251" t="e">
        <f>INDEX(#REF!,MATCH(-174564184,#REF!,0),Sy_nop)</f>
        <v>#REF!</v>
      </c>
      <c r="F3" s="252" t="e">
        <f>INDEX(#REF!,MATCH(-187872572,#REF!,0),Sy_nop)</f>
        <v>#REF!</v>
      </c>
      <c r="G3" s="253" t="s">
        <v>275</v>
      </c>
      <c r="H3" s="251" t="e">
        <f>INDEX(#REF!,MATCH(-174564184,#REF!,0),Sy_nop)</f>
        <v>#REF!</v>
      </c>
      <c r="I3" s="252" t="e">
        <f>INDEX(#REF!,MATCH(-187872572,#REF!,0),Sy_nop)</f>
        <v>#REF!</v>
      </c>
      <c r="J3" s="253" t="s">
        <v>275</v>
      </c>
      <c r="K3" s="251" t="e">
        <f>INDEX(#REF!,MATCH(-174564184,#REF!,0),Sy_nop)</f>
        <v>#REF!</v>
      </c>
      <c r="L3" s="252" t="e">
        <f>INDEX(#REF!,MATCH(-187872572,#REF!,0),Sy_nop)</f>
        <v>#REF!</v>
      </c>
      <c r="M3" s="253" t="s">
        <v>275</v>
      </c>
      <c r="N3" s="251" t="e">
        <f>INDEX(#REF!,MATCH(-174564184,#REF!,0),Sy_nop)</f>
        <v>#REF!</v>
      </c>
      <c r="O3" s="252" t="e">
        <f>INDEX(#REF!,MATCH(-187872572,#REF!,0),Sy_nop)</f>
        <v>#REF!</v>
      </c>
      <c r="P3" s="253" t="s">
        <v>275</v>
      </c>
      <c r="Q3" s="251" t="e">
        <f>INDEX(#REF!,MATCH(-174564184,#REF!,0),Sy_nop)</f>
        <v>#REF!</v>
      </c>
      <c r="R3" s="252" t="e">
        <f>INDEX(#REF!,MATCH(-187872572,#REF!,0),Sy_nop)</f>
        <v>#REF!</v>
      </c>
      <c r="S3" s="253" t="s">
        <v>275</v>
      </c>
      <c r="T3" s="251" t="e">
        <f>INDEX(#REF!,MATCH(-174564184,#REF!,0),Sy_nop)</f>
        <v>#REF!</v>
      </c>
      <c r="U3" s="252" t="e">
        <f>INDEX(#REF!,MATCH(-187872572,#REF!,0),Sy_nop)</f>
        <v>#REF!</v>
      </c>
      <c r="V3" s="253" t="s">
        <v>275</v>
      </c>
      <c r="W3" s="251" t="e">
        <f>INDEX(#REF!,MATCH(-174564184,#REF!,0),Sy_nop)</f>
        <v>#REF!</v>
      </c>
      <c r="X3" s="252" t="e">
        <f>INDEX(#REF!,MATCH(-187872572,#REF!,0),Sy_nop)</f>
        <v>#REF!</v>
      </c>
      <c r="Y3" s="253" t="s">
        <v>275</v>
      </c>
      <c r="Z3" s="251" t="e">
        <f>INDEX(#REF!,MATCH(-174564184,#REF!,0),Sy_nop)</f>
        <v>#REF!</v>
      </c>
      <c r="AA3" s="252" t="e">
        <f>INDEX(#REF!,MATCH(-187872572,#REF!,0),Sy_nop)</f>
        <v>#REF!</v>
      </c>
      <c r="AB3" s="253" t="s">
        <v>275</v>
      </c>
      <c r="AC3" s="251" t="e">
        <f>INDEX(#REF!,MATCH(-174564184,#REF!,0),Sy_nop)</f>
        <v>#REF!</v>
      </c>
      <c r="AD3" s="252" t="e">
        <f>INDEX(#REF!,MATCH(-187872572,#REF!,0),Sy_nop)</f>
        <v>#REF!</v>
      </c>
      <c r="AE3" s="253" t="s">
        <v>275</v>
      </c>
      <c r="AF3" s="251" t="e">
        <f>INDEX(#REF!,MATCH(-174564184,#REF!,0),Sy_nop)</f>
        <v>#REF!</v>
      </c>
      <c r="AG3" s="252" t="e">
        <f>INDEX(#REF!,MATCH(-187872572,#REF!,0),Sy_nop)</f>
        <v>#REF!</v>
      </c>
      <c r="AH3" s="253" t="s">
        <v>275</v>
      </c>
    </row>
    <row r="4" spans="1:36" ht="15" customHeight="1" thickBot="1">
      <c r="A4" s="87" t="e">
        <f>INDEX(#REF!,MATCH(29883458,#REF!,0),Sy_nop)</f>
        <v>#REF!</v>
      </c>
      <c r="B4" s="254" t="s">
        <v>276</v>
      </c>
      <c r="C4" s="255" t="s">
        <v>276</v>
      </c>
      <c r="D4" s="256" t="e">
        <f>INDEX(#REF!,MATCH(29883458,#REF!,0),Sy_nop)</f>
        <v>#REF!</v>
      </c>
      <c r="E4" s="254" t="s">
        <v>277</v>
      </c>
      <c r="F4" s="255" t="s">
        <v>277</v>
      </c>
      <c r="G4" s="256" t="e">
        <f>INDEX(#REF!,MATCH(29883458,#REF!,0),Sy_nop)</f>
        <v>#REF!</v>
      </c>
      <c r="H4" s="254" t="e">
        <f>INDEX(#REF!,MATCH(179168049,#REF!,0),Sy_nop)</f>
        <v>#REF!</v>
      </c>
      <c r="I4" s="255" t="e">
        <f>INDEX(#REF!,MATCH(179168049,#REF!,0),Sy_nop)</f>
        <v>#REF!</v>
      </c>
      <c r="J4" s="256" t="e">
        <f>INDEX(#REF!,MATCH(29883458,#REF!,0),Sy_nop)</f>
        <v>#REF!</v>
      </c>
      <c r="K4" s="254" t="s">
        <v>279</v>
      </c>
      <c r="L4" s="255" t="s">
        <v>279</v>
      </c>
      <c r="M4" s="256" t="e">
        <f>INDEX(#REF!,MATCH(29883458,#REF!,0),Sy_nop)</f>
        <v>#REF!</v>
      </c>
      <c r="N4" s="254" t="s">
        <v>280</v>
      </c>
      <c r="O4" s="255" t="s">
        <v>280</v>
      </c>
      <c r="P4" s="256" t="e">
        <f>INDEX(#REF!,MATCH(29883458,#REF!,0),Sy_nop)</f>
        <v>#REF!</v>
      </c>
      <c r="Q4" s="254">
        <v>2014</v>
      </c>
      <c r="R4" s="255">
        <v>2014</v>
      </c>
      <c r="S4" s="256" t="e">
        <f>INDEX(#REF!,MATCH(29883458,#REF!,0),Sy_nop)</f>
        <v>#REF!</v>
      </c>
      <c r="T4" s="254" t="e">
        <f>INDEX(#REF!,MATCH(113048160,#REF!,0),Sy_nop)</f>
        <v>#REF!</v>
      </c>
      <c r="U4" s="255" t="e">
        <f>INDEX(#REF!,MATCH(113048160,#REF!,0),Sy_nop)</f>
        <v>#REF!</v>
      </c>
      <c r="V4" s="256" t="e">
        <f>INDEX(#REF!,MATCH(29883458,#REF!,0),Sy_nop)</f>
        <v>#REF!</v>
      </c>
      <c r="W4" s="254" t="e">
        <f>INDEX(#REF!,MATCH(54739964,#REF!,0),Sy_nop)</f>
        <v>#REF!</v>
      </c>
      <c r="X4" s="255" t="e">
        <f>INDEX(#REF!,MATCH(54739964,#REF!,0),Sy_nop)</f>
        <v>#REF!</v>
      </c>
      <c r="Y4" s="256" t="e">
        <f>INDEX(#REF!,MATCH(29883458,#REF!,0),Sy_nop)</f>
        <v>#REF!</v>
      </c>
      <c r="Z4" s="254" t="s">
        <v>283</v>
      </c>
      <c r="AA4" s="255" t="s">
        <v>283</v>
      </c>
      <c r="AB4" s="256" t="e">
        <f>INDEX(#REF!,MATCH(29883458,#REF!,0),Sy_nop)</f>
        <v>#REF!</v>
      </c>
      <c r="AC4" s="254" t="e">
        <f>INDEX(#REF!,MATCH(3931748,#REF!,0),Sy_nop)</f>
        <v>#REF!</v>
      </c>
      <c r="AD4" s="255" t="e">
        <f>INDEX(#REF!,MATCH(3931748,#REF!,0),Sy_nop)</f>
        <v>#REF!</v>
      </c>
      <c r="AE4" s="256" t="s">
        <v>287</v>
      </c>
      <c r="AF4" s="254" t="s">
        <v>285</v>
      </c>
      <c r="AG4" s="255" t="s">
        <v>285</v>
      </c>
      <c r="AH4" s="256" t="e">
        <f>INDEX(#REF!,MATCH(29883458,#REF!,0),Sy_nop)</f>
        <v>#REF!</v>
      </c>
    </row>
    <row r="5" spans="1:36" ht="15" customHeight="1" thickTop="1">
      <c r="A5" s="65" t="s">
        <v>317</v>
      </c>
      <c r="B5" s="223">
        <v>17484</v>
      </c>
      <c r="C5" s="64">
        <v>17484</v>
      </c>
      <c r="D5" s="64">
        <v>0</v>
      </c>
      <c r="E5" s="218">
        <v>5932</v>
      </c>
      <c r="F5" s="64">
        <v>5932</v>
      </c>
      <c r="G5" s="64">
        <v>0</v>
      </c>
      <c r="H5" s="218">
        <v>11552</v>
      </c>
      <c r="I5" s="64">
        <v>11552</v>
      </c>
      <c r="J5" s="64">
        <v>0</v>
      </c>
      <c r="K5" s="218">
        <v>5726</v>
      </c>
      <c r="L5" s="64">
        <v>5726</v>
      </c>
      <c r="M5" s="64">
        <v>0</v>
      </c>
      <c r="N5" s="218">
        <v>5826</v>
      </c>
      <c r="O5" s="64">
        <v>5826</v>
      </c>
      <c r="P5" s="64">
        <v>0</v>
      </c>
      <c r="Q5" s="218">
        <v>35913</v>
      </c>
      <c r="R5" s="64">
        <v>35913</v>
      </c>
      <c r="S5" s="64">
        <v>0</v>
      </c>
      <c r="T5" s="218">
        <v>7683</v>
      </c>
      <c r="U5" s="64">
        <v>7683</v>
      </c>
      <c r="V5" s="64">
        <v>0</v>
      </c>
      <c r="W5" s="218">
        <v>28230</v>
      </c>
      <c r="X5" s="64">
        <v>28230</v>
      </c>
      <c r="Y5" s="64">
        <v>0</v>
      </c>
      <c r="Z5" s="218">
        <v>9098</v>
      </c>
      <c r="AA5" s="64">
        <v>9098</v>
      </c>
      <c r="AB5" s="64">
        <v>0</v>
      </c>
      <c r="AC5" s="218">
        <v>19132</v>
      </c>
      <c r="AD5" s="64">
        <v>19132</v>
      </c>
      <c r="AE5" s="64">
        <v>0</v>
      </c>
      <c r="AF5" s="218">
        <v>9307</v>
      </c>
      <c r="AG5" s="64">
        <v>9307</v>
      </c>
      <c r="AH5" s="64">
        <v>0</v>
      </c>
      <c r="AJ5" s="163"/>
    </row>
    <row r="6" spans="1:36" ht="15" customHeight="1">
      <c r="A6" s="65" t="s">
        <v>316</v>
      </c>
      <c r="B6" s="218">
        <v>-845</v>
      </c>
      <c r="C6" s="64">
        <v>-845</v>
      </c>
      <c r="D6" s="64">
        <v>0</v>
      </c>
      <c r="E6" s="218">
        <v>-980</v>
      </c>
      <c r="F6" s="64">
        <v>-980</v>
      </c>
      <c r="G6" s="64">
        <v>0</v>
      </c>
      <c r="H6" s="218">
        <v>135</v>
      </c>
      <c r="I6" s="64">
        <v>135</v>
      </c>
      <c r="J6" s="64">
        <v>0</v>
      </c>
      <c r="K6" s="218">
        <v>106</v>
      </c>
      <c r="L6" s="64">
        <v>106</v>
      </c>
      <c r="M6" s="64">
        <v>0</v>
      </c>
      <c r="N6" s="218">
        <v>29</v>
      </c>
      <c r="O6" s="64">
        <v>29</v>
      </c>
      <c r="P6" s="64">
        <v>0</v>
      </c>
      <c r="Q6" s="218">
        <v>1466</v>
      </c>
      <c r="R6" s="64">
        <v>1466</v>
      </c>
      <c r="S6" s="64">
        <v>0</v>
      </c>
      <c r="T6" s="218">
        <v>220</v>
      </c>
      <c r="U6" s="64">
        <v>220</v>
      </c>
      <c r="V6" s="64">
        <v>0</v>
      </c>
      <c r="W6" s="218">
        <v>1246</v>
      </c>
      <c r="X6" s="64">
        <v>1246</v>
      </c>
      <c r="Y6" s="64">
        <v>0</v>
      </c>
      <c r="Z6" s="218">
        <v>435</v>
      </c>
      <c r="AA6" s="64">
        <v>435</v>
      </c>
      <c r="AB6" s="64">
        <v>0</v>
      </c>
      <c r="AC6" s="218">
        <v>812</v>
      </c>
      <c r="AD6" s="64">
        <v>812</v>
      </c>
      <c r="AE6" s="64">
        <v>0</v>
      </c>
      <c r="AF6" s="218">
        <v>211</v>
      </c>
      <c r="AG6" s="64">
        <v>211</v>
      </c>
      <c r="AH6" s="64">
        <v>0</v>
      </c>
      <c r="AJ6" s="163"/>
    </row>
    <row r="7" spans="1:36" ht="15" customHeight="1">
      <c r="A7" s="32" t="s">
        <v>186</v>
      </c>
      <c r="B7" s="171">
        <v>531</v>
      </c>
      <c r="C7" s="25">
        <v>514</v>
      </c>
      <c r="D7" s="25">
        <v>17</v>
      </c>
      <c r="E7" s="171">
        <v>174</v>
      </c>
      <c r="F7" s="25">
        <v>157</v>
      </c>
      <c r="G7" s="25">
        <v>17</v>
      </c>
      <c r="H7" s="171">
        <v>357</v>
      </c>
      <c r="I7" s="25">
        <v>357</v>
      </c>
      <c r="J7" s="25">
        <v>0</v>
      </c>
      <c r="K7" s="171">
        <v>140</v>
      </c>
      <c r="L7" s="25">
        <v>140</v>
      </c>
      <c r="M7" s="25">
        <v>0</v>
      </c>
      <c r="N7" s="171">
        <v>217</v>
      </c>
      <c r="O7" s="25">
        <v>217</v>
      </c>
      <c r="P7" s="25">
        <v>0</v>
      </c>
      <c r="Q7" s="171">
        <v>-538</v>
      </c>
      <c r="R7" s="25">
        <v>-453</v>
      </c>
      <c r="S7" s="25">
        <v>-86</v>
      </c>
      <c r="T7" s="171">
        <v>-894</v>
      </c>
      <c r="U7" s="25">
        <v>-786</v>
      </c>
      <c r="V7" s="25">
        <v>-108</v>
      </c>
      <c r="W7" s="171">
        <v>356</v>
      </c>
      <c r="X7" s="25">
        <v>333</v>
      </c>
      <c r="Y7" s="25">
        <v>23</v>
      </c>
      <c r="Z7" s="171">
        <v>156</v>
      </c>
      <c r="AA7" s="25">
        <v>156</v>
      </c>
      <c r="AB7" s="25">
        <v>0</v>
      </c>
      <c r="AC7" s="171">
        <v>200</v>
      </c>
      <c r="AD7" s="25">
        <v>177</v>
      </c>
      <c r="AE7" s="25">
        <v>23</v>
      </c>
      <c r="AF7" s="171">
        <v>105</v>
      </c>
      <c r="AG7" s="25">
        <v>82</v>
      </c>
      <c r="AH7" s="25">
        <v>23</v>
      </c>
      <c r="AJ7" s="163"/>
    </row>
    <row r="8" spans="1:36" ht="15" customHeight="1">
      <c r="A8" s="32" t="s">
        <v>3</v>
      </c>
      <c r="B8" s="171">
        <v>-9</v>
      </c>
      <c r="C8" s="25">
        <v>-9</v>
      </c>
      <c r="D8" s="25">
        <v>0</v>
      </c>
      <c r="E8" s="171">
        <v>0</v>
      </c>
      <c r="F8" s="25">
        <v>0</v>
      </c>
      <c r="G8" s="25">
        <v>0</v>
      </c>
      <c r="H8" s="171">
        <v>-9</v>
      </c>
      <c r="I8" s="25">
        <v>-9</v>
      </c>
      <c r="J8" s="25">
        <v>0</v>
      </c>
      <c r="K8" s="171">
        <v>8</v>
      </c>
      <c r="L8" s="25">
        <v>8</v>
      </c>
      <c r="M8" s="25">
        <v>0</v>
      </c>
      <c r="N8" s="171">
        <v>-17</v>
      </c>
      <c r="O8" s="25">
        <v>-17</v>
      </c>
      <c r="P8" s="25">
        <v>0</v>
      </c>
      <c r="Q8" s="171">
        <v>-63</v>
      </c>
      <c r="R8" s="25">
        <v>-63</v>
      </c>
      <c r="S8" s="25">
        <v>0</v>
      </c>
      <c r="T8" s="171">
        <v>-19</v>
      </c>
      <c r="U8" s="25">
        <v>-19</v>
      </c>
      <c r="V8" s="25">
        <v>0</v>
      </c>
      <c r="W8" s="171">
        <v>-44</v>
      </c>
      <c r="X8" s="25">
        <v>-44</v>
      </c>
      <c r="Y8" s="25">
        <v>0</v>
      </c>
      <c r="Z8" s="171">
        <v>-11</v>
      </c>
      <c r="AA8" s="25">
        <v>-11</v>
      </c>
      <c r="AB8" s="25">
        <v>0</v>
      </c>
      <c r="AC8" s="171">
        <v>-33</v>
      </c>
      <c r="AD8" s="25">
        <v>-33</v>
      </c>
      <c r="AE8" s="25">
        <v>0</v>
      </c>
      <c r="AF8" s="171">
        <v>-22</v>
      </c>
      <c r="AG8" s="25">
        <v>-22</v>
      </c>
      <c r="AH8" s="25">
        <v>0</v>
      </c>
      <c r="AJ8" s="163"/>
    </row>
    <row r="9" spans="1:36" ht="15" customHeight="1">
      <c r="A9" s="33" t="s">
        <v>4</v>
      </c>
      <c r="B9" s="171">
        <v>46</v>
      </c>
      <c r="C9" s="25">
        <v>46</v>
      </c>
      <c r="D9" s="25">
        <v>0</v>
      </c>
      <c r="E9" s="171">
        <v>78</v>
      </c>
      <c r="F9" s="25">
        <v>78</v>
      </c>
      <c r="G9" s="25">
        <v>0</v>
      </c>
      <c r="H9" s="171">
        <v>-32</v>
      </c>
      <c r="I9" s="25">
        <v>-32</v>
      </c>
      <c r="J9" s="25">
        <v>0</v>
      </c>
      <c r="K9" s="171">
        <v>-31</v>
      </c>
      <c r="L9" s="25">
        <v>-31</v>
      </c>
      <c r="M9" s="25">
        <v>0</v>
      </c>
      <c r="N9" s="171">
        <v>-1</v>
      </c>
      <c r="O9" s="25">
        <v>-1</v>
      </c>
      <c r="P9" s="25">
        <v>0</v>
      </c>
      <c r="Q9" s="171">
        <v>104</v>
      </c>
      <c r="R9" s="25">
        <v>104</v>
      </c>
      <c r="S9" s="25">
        <v>0</v>
      </c>
      <c r="T9" s="171">
        <v>161</v>
      </c>
      <c r="U9" s="25">
        <v>161</v>
      </c>
      <c r="V9" s="25">
        <v>0</v>
      </c>
      <c r="W9" s="171">
        <v>-57</v>
      </c>
      <c r="X9" s="25">
        <v>-57</v>
      </c>
      <c r="Y9" s="25">
        <v>0</v>
      </c>
      <c r="Z9" s="171">
        <v>-9</v>
      </c>
      <c r="AA9" s="25">
        <v>-9</v>
      </c>
      <c r="AB9" s="25">
        <v>0</v>
      </c>
      <c r="AC9" s="171">
        <v>-48</v>
      </c>
      <c r="AD9" s="25">
        <v>-48</v>
      </c>
      <c r="AE9" s="25">
        <v>0</v>
      </c>
      <c r="AF9" s="171">
        <v>-38</v>
      </c>
      <c r="AG9" s="25">
        <v>-38</v>
      </c>
      <c r="AH9" s="25">
        <v>0</v>
      </c>
      <c r="AJ9" s="163"/>
    </row>
    <row r="10" spans="1:36" ht="15" customHeight="1">
      <c r="A10" s="233" t="s">
        <v>5</v>
      </c>
      <c r="B10" s="217">
        <v>-277</v>
      </c>
      <c r="C10" s="216">
        <v>-294</v>
      </c>
      <c r="D10" s="216">
        <v>17</v>
      </c>
      <c r="E10" s="217">
        <v>-728</v>
      </c>
      <c r="F10" s="216">
        <v>-744</v>
      </c>
      <c r="G10" s="216">
        <v>17</v>
      </c>
      <c r="H10" s="217">
        <v>451</v>
      </c>
      <c r="I10" s="216">
        <v>451</v>
      </c>
      <c r="J10" s="216">
        <v>0</v>
      </c>
      <c r="K10" s="217">
        <v>222</v>
      </c>
      <c r="L10" s="216">
        <v>222</v>
      </c>
      <c r="M10" s="216">
        <v>0</v>
      </c>
      <c r="N10" s="217">
        <v>228</v>
      </c>
      <c r="O10" s="216">
        <v>228</v>
      </c>
      <c r="P10" s="216">
        <v>0</v>
      </c>
      <c r="Q10" s="217">
        <v>969</v>
      </c>
      <c r="R10" s="216">
        <v>1054</v>
      </c>
      <c r="S10" s="216">
        <v>-86</v>
      </c>
      <c r="T10" s="217">
        <v>-532</v>
      </c>
      <c r="U10" s="216">
        <v>-424</v>
      </c>
      <c r="V10" s="216">
        <v>-108</v>
      </c>
      <c r="W10" s="217">
        <v>1501</v>
      </c>
      <c r="X10" s="216">
        <v>1478</v>
      </c>
      <c r="Y10" s="216">
        <v>23</v>
      </c>
      <c r="Z10" s="217">
        <v>571</v>
      </c>
      <c r="AA10" s="216">
        <v>570</v>
      </c>
      <c r="AB10" s="216">
        <v>0</v>
      </c>
      <c r="AC10" s="217">
        <v>930</v>
      </c>
      <c r="AD10" s="216">
        <v>908</v>
      </c>
      <c r="AE10" s="216">
        <v>23</v>
      </c>
      <c r="AF10" s="217">
        <v>255</v>
      </c>
      <c r="AG10" s="216">
        <v>232</v>
      </c>
      <c r="AH10" s="216">
        <v>23</v>
      </c>
      <c r="AJ10" s="163"/>
    </row>
    <row r="11" spans="1:36" ht="15" customHeight="1">
      <c r="A11" s="62" t="s">
        <v>178</v>
      </c>
      <c r="B11" s="171">
        <v>297</v>
      </c>
      <c r="C11" s="25">
        <v>296</v>
      </c>
      <c r="D11" s="25">
        <v>1</v>
      </c>
      <c r="E11" s="171">
        <v>8</v>
      </c>
      <c r="F11" s="25">
        <v>8</v>
      </c>
      <c r="G11" s="25">
        <v>0</v>
      </c>
      <c r="H11" s="171">
        <v>288</v>
      </c>
      <c r="I11" s="25">
        <v>288</v>
      </c>
      <c r="J11" s="25">
        <v>0</v>
      </c>
      <c r="K11" s="171">
        <v>177</v>
      </c>
      <c r="L11" s="25">
        <v>177</v>
      </c>
      <c r="M11" s="25">
        <v>0</v>
      </c>
      <c r="N11" s="171">
        <v>111</v>
      </c>
      <c r="O11" s="25">
        <v>111</v>
      </c>
      <c r="P11" s="25">
        <v>0</v>
      </c>
      <c r="Q11" s="171">
        <v>719</v>
      </c>
      <c r="R11" s="25">
        <v>740</v>
      </c>
      <c r="S11" s="25">
        <v>-20</v>
      </c>
      <c r="T11" s="171">
        <v>-38</v>
      </c>
      <c r="U11" s="25">
        <v>-17</v>
      </c>
      <c r="V11" s="25">
        <v>-20</v>
      </c>
      <c r="W11" s="171">
        <v>757</v>
      </c>
      <c r="X11" s="25">
        <v>757</v>
      </c>
      <c r="Y11" s="25">
        <v>0</v>
      </c>
      <c r="Z11" s="171">
        <v>287</v>
      </c>
      <c r="AA11" s="25">
        <v>287</v>
      </c>
      <c r="AB11" s="25">
        <v>0</v>
      </c>
      <c r="AC11" s="171">
        <v>470</v>
      </c>
      <c r="AD11" s="25">
        <v>470</v>
      </c>
      <c r="AE11" s="25">
        <v>0</v>
      </c>
      <c r="AF11" s="171">
        <v>143</v>
      </c>
      <c r="AG11" s="25">
        <v>143</v>
      </c>
      <c r="AH11" s="25">
        <v>0</v>
      </c>
      <c r="AJ11" s="163"/>
    </row>
    <row r="12" spans="1:36" ht="15" customHeight="1">
      <c r="A12" s="234" t="s">
        <v>194</v>
      </c>
      <c r="B12" s="171">
        <v>10</v>
      </c>
      <c r="C12" s="25">
        <v>11</v>
      </c>
      <c r="D12" s="25">
        <v>-1</v>
      </c>
      <c r="E12" s="171">
        <v>1</v>
      </c>
      <c r="F12" s="25">
        <v>1</v>
      </c>
      <c r="G12" s="25">
        <v>0</v>
      </c>
      <c r="H12" s="171">
        <v>10</v>
      </c>
      <c r="I12" s="25">
        <v>10</v>
      </c>
      <c r="J12" s="25">
        <v>-1</v>
      </c>
      <c r="K12" s="171">
        <v>20</v>
      </c>
      <c r="L12" s="25">
        <v>20</v>
      </c>
      <c r="M12" s="25">
        <v>0</v>
      </c>
      <c r="N12" s="171">
        <v>-10</v>
      </c>
      <c r="O12" s="25">
        <v>-9</v>
      </c>
      <c r="P12" s="25">
        <v>0</v>
      </c>
      <c r="Q12" s="171">
        <v>-260</v>
      </c>
      <c r="R12" s="25">
        <v>-212</v>
      </c>
      <c r="S12" s="25">
        <v>-48</v>
      </c>
      <c r="T12" s="171">
        <v>-356</v>
      </c>
      <c r="U12" s="25">
        <v>-285</v>
      </c>
      <c r="V12" s="25">
        <v>-71</v>
      </c>
      <c r="W12" s="171">
        <v>96</v>
      </c>
      <c r="X12" s="25">
        <v>73</v>
      </c>
      <c r="Y12" s="25">
        <v>23</v>
      </c>
      <c r="Z12" s="171">
        <v>36</v>
      </c>
      <c r="AA12" s="25">
        <v>36</v>
      </c>
      <c r="AB12" s="25">
        <v>0</v>
      </c>
      <c r="AC12" s="171">
        <v>60</v>
      </c>
      <c r="AD12" s="25">
        <v>37</v>
      </c>
      <c r="AE12" s="25">
        <v>23</v>
      </c>
      <c r="AF12" s="171">
        <v>34</v>
      </c>
      <c r="AG12" s="25">
        <v>11</v>
      </c>
      <c r="AH12" s="25">
        <v>23</v>
      </c>
      <c r="AJ12" s="163"/>
    </row>
    <row r="13" spans="1:36" ht="15" customHeight="1">
      <c r="A13" s="77" t="s">
        <v>315</v>
      </c>
      <c r="B13" s="218">
        <v>-1266</v>
      </c>
      <c r="C13" s="64">
        <v>-1283</v>
      </c>
      <c r="D13" s="64">
        <v>17</v>
      </c>
      <c r="E13" s="218">
        <v>-1073</v>
      </c>
      <c r="F13" s="64">
        <v>-1090</v>
      </c>
      <c r="G13" s="64">
        <v>17</v>
      </c>
      <c r="H13" s="218">
        <v>-193</v>
      </c>
      <c r="I13" s="64">
        <v>-194</v>
      </c>
      <c r="J13" s="64">
        <v>0</v>
      </c>
      <c r="K13" s="218">
        <v>-198</v>
      </c>
      <c r="L13" s="64">
        <v>-198</v>
      </c>
      <c r="M13" s="64">
        <v>0</v>
      </c>
      <c r="N13" s="218">
        <v>4</v>
      </c>
      <c r="O13" s="64">
        <v>4</v>
      </c>
      <c r="P13" s="64">
        <v>0</v>
      </c>
      <c r="Q13" s="218">
        <v>-908</v>
      </c>
      <c r="R13" s="64">
        <v>-822</v>
      </c>
      <c r="S13" s="64">
        <v>-86</v>
      </c>
      <c r="T13" s="218">
        <v>-781</v>
      </c>
      <c r="U13" s="64">
        <v>-672</v>
      </c>
      <c r="V13" s="64">
        <v>-108</v>
      </c>
      <c r="W13" s="218">
        <v>-127</v>
      </c>
      <c r="X13" s="64">
        <v>-150</v>
      </c>
      <c r="Y13" s="64">
        <v>23</v>
      </c>
      <c r="Z13" s="218">
        <v>-23</v>
      </c>
      <c r="AA13" s="64">
        <v>-23</v>
      </c>
      <c r="AB13" s="64">
        <v>0</v>
      </c>
      <c r="AC13" s="218">
        <v>-104</v>
      </c>
      <c r="AD13" s="64">
        <v>-127</v>
      </c>
      <c r="AE13" s="64">
        <v>23</v>
      </c>
      <c r="AF13" s="218">
        <v>-130</v>
      </c>
      <c r="AG13" s="64">
        <v>-153</v>
      </c>
      <c r="AH13" s="64">
        <v>23</v>
      </c>
      <c r="AJ13" s="163"/>
    </row>
    <row r="14" spans="1:36" ht="15" customHeight="1">
      <c r="A14" s="99" t="s">
        <v>6</v>
      </c>
      <c r="B14" s="219">
        <v>-32</v>
      </c>
      <c r="C14" s="96">
        <v>-32</v>
      </c>
      <c r="D14" s="96">
        <v>0</v>
      </c>
      <c r="E14" s="219">
        <v>-16</v>
      </c>
      <c r="F14" s="96">
        <v>-16</v>
      </c>
      <c r="G14" s="96">
        <v>0</v>
      </c>
      <c r="H14" s="219">
        <v>-17</v>
      </c>
      <c r="I14" s="96">
        <v>-17</v>
      </c>
      <c r="J14" s="96">
        <v>0</v>
      </c>
      <c r="K14" s="219">
        <v>-12</v>
      </c>
      <c r="L14" s="96">
        <v>-12</v>
      </c>
      <c r="M14" s="96">
        <v>0</v>
      </c>
      <c r="N14" s="219">
        <v>-4</v>
      </c>
      <c r="O14" s="96">
        <v>-4</v>
      </c>
      <c r="P14" s="96">
        <v>0</v>
      </c>
      <c r="Q14" s="219">
        <v>-46</v>
      </c>
      <c r="R14" s="96">
        <v>-46</v>
      </c>
      <c r="S14" s="96">
        <v>0</v>
      </c>
      <c r="T14" s="219">
        <v>-12</v>
      </c>
      <c r="U14" s="96">
        <v>-12</v>
      </c>
      <c r="V14" s="96">
        <v>0</v>
      </c>
      <c r="W14" s="219">
        <v>-33</v>
      </c>
      <c r="X14" s="96">
        <v>-33</v>
      </c>
      <c r="Y14" s="96">
        <v>0</v>
      </c>
      <c r="Z14" s="219">
        <v>-22</v>
      </c>
      <c r="AA14" s="96">
        <v>-22</v>
      </c>
      <c r="AB14" s="96">
        <v>0</v>
      </c>
      <c r="AC14" s="219">
        <v>-12</v>
      </c>
      <c r="AD14" s="96">
        <v>-12</v>
      </c>
      <c r="AE14" s="96">
        <v>0</v>
      </c>
      <c r="AF14" s="219">
        <v>-8</v>
      </c>
      <c r="AG14" s="96">
        <v>-8</v>
      </c>
      <c r="AH14" s="96">
        <v>0</v>
      </c>
      <c r="AJ14" s="163"/>
    </row>
    <row r="15" spans="1:36" ht="15" customHeight="1">
      <c r="A15" s="100" t="s">
        <v>314</v>
      </c>
      <c r="B15" s="171">
        <v>-1278</v>
      </c>
      <c r="C15" s="25">
        <v>-1295</v>
      </c>
      <c r="D15" s="25">
        <v>17</v>
      </c>
      <c r="E15" s="171">
        <v>-1071</v>
      </c>
      <c r="F15" s="25">
        <v>-1088</v>
      </c>
      <c r="G15" s="25">
        <v>17</v>
      </c>
      <c r="H15" s="171">
        <v>-207</v>
      </c>
      <c r="I15" s="25">
        <v>-207</v>
      </c>
      <c r="J15" s="25">
        <v>0</v>
      </c>
      <c r="K15" s="171">
        <v>-206</v>
      </c>
      <c r="L15" s="25">
        <v>-206</v>
      </c>
      <c r="M15" s="25">
        <v>0</v>
      </c>
      <c r="N15" s="171">
        <v>-1</v>
      </c>
      <c r="O15" s="25">
        <v>-1</v>
      </c>
      <c r="P15" s="25">
        <v>0</v>
      </c>
      <c r="Q15" s="171">
        <v>-833</v>
      </c>
      <c r="R15" s="25">
        <v>-724</v>
      </c>
      <c r="S15" s="25">
        <v>-109</v>
      </c>
      <c r="T15" s="171">
        <v>-699</v>
      </c>
      <c r="U15" s="25">
        <v>-590</v>
      </c>
      <c r="V15" s="25">
        <v>-109</v>
      </c>
      <c r="W15" s="171">
        <v>-134</v>
      </c>
      <c r="X15" s="25">
        <v>-134</v>
      </c>
      <c r="Y15" s="25">
        <v>0</v>
      </c>
      <c r="Z15" s="171">
        <v>-1</v>
      </c>
      <c r="AA15" s="25">
        <v>-1</v>
      </c>
      <c r="AB15" s="25">
        <v>0</v>
      </c>
      <c r="AC15" s="171">
        <v>-133</v>
      </c>
      <c r="AD15" s="25">
        <v>-133</v>
      </c>
      <c r="AE15" s="25">
        <v>0</v>
      </c>
      <c r="AF15" s="171">
        <v>-132</v>
      </c>
      <c r="AG15" s="25">
        <v>-132</v>
      </c>
      <c r="AH15" s="25">
        <v>0</v>
      </c>
      <c r="AJ15" s="163"/>
    </row>
    <row r="16" spans="1:36" ht="15" customHeight="1">
      <c r="A16" s="100" t="s">
        <v>313</v>
      </c>
      <c r="B16" s="171">
        <v>0</v>
      </c>
      <c r="C16" s="25">
        <v>0</v>
      </c>
      <c r="D16" s="25">
        <v>0</v>
      </c>
      <c r="E16" s="171">
        <v>0</v>
      </c>
      <c r="F16" s="25">
        <v>0</v>
      </c>
      <c r="G16" s="25">
        <v>0</v>
      </c>
      <c r="H16" s="171">
        <v>0</v>
      </c>
      <c r="I16" s="25">
        <v>0</v>
      </c>
      <c r="J16" s="25">
        <v>0</v>
      </c>
      <c r="K16" s="171">
        <v>0</v>
      </c>
      <c r="L16" s="25">
        <v>0</v>
      </c>
      <c r="M16" s="25">
        <v>0</v>
      </c>
      <c r="N16" s="171">
        <v>0</v>
      </c>
      <c r="O16" s="25">
        <v>0</v>
      </c>
      <c r="P16" s="25">
        <v>0</v>
      </c>
      <c r="Q16" s="171">
        <v>-20</v>
      </c>
      <c r="R16" s="25">
        <v>-43</v>
      </c>
      <c r="S16" s="25">
        <v>24</v>
      </c>
      <c r="T16" s="171">
        <v>-21</v>
      </c>
      <c r="U16" s="25">
        <v>-22</v>
      </c>
      <c r="V16" s="25">
        <v>0</v>
      </c>
      <c r="W16" s="171">
        <v>2</v>
      </c>
      <c r="X16" s="25">
        <v>-22</v>
      </c>
      <c r="Y16" s="25">
        <v>23</v>
      </c>
      <c r="Z16" s="171">
        <v>-4</v>
      </c>
      <c r="AA16" s="25">
        <v>-4</v>
      </c>
      <c r="AB16" s="25">
        <v>0</v>
      </c>
      <c r="AC16" s="171">
        <v>5</v>
      </c>
      <c r="AD16" s="25">
        <v>-17</v>
      </c>
      <c r="AE16" s="25">
        <v>23</v>
      </c>
      <c r="AF16" s="171">
        <v>-4</v>
      </c>
      <c r="AG16" s="25">
        <v>-27</v>
      </c>
      <c r="AH16" s="25">
        <v>23</v>
      </c>
      <c r="AJ16" s="163"/>
    </row>
    <row r="17" spans="1:36" ht="15" customHeight="1">
      <c r="A17" s="220" t="s">
        <v>312</v>
      </c>
      <c r="B17" s="219">
        <v>44</v>
      </c>
      <c r="C17" s="25">
        <v>44</v>
      </c>
      <c r="D17" s="25">
        <v>0</v>
      </c>
      <c r="E17" s="219">
        <v>14</v>
      </c>
      <c r="F17" s="25">
        <v>14</v>
      </c>
      <c r="G17" s="25">
        <v>0</v>
      </c>
      <c r="H17" s="219">
        <v>30</v>
      </c>
      <c r="I17" s="25">
        <v>30</v>
      </c>
      <c r="J17" s="25">
        <v>0</v>
      </c>
      <c r="K17" s="219">
        <v>21</v>
      </c>
      <c r="L17" s="25">
        <v>21</v>
      </c>
      <c r="M17" s="25">
        <v>0</v>
      </c>
      <c r="N17" s="219">
        <v>9</v>
      </c>
      <c r="O17" s="25">
        <v>9</v>
      </c>
      <c r="P17" s="25">
        <v>0</v>
      </c>
      <c r="Q17" s="219">
        <v>-9</v>
      </c>
      <c r="R17" s="25">
        <v>-9</v>
      </c>
      <c r="S17" s="25">
        <v>0</v>
      </c>
      <c r="T17" s="219">
        <v>-48</v>
      </c>
      <c r="U17" s="25">
        <v>-48</v>
      </c>
      <c r="V17" s="25">
        <v>0</v>
      </c>
      <c r="W17" s="219">
        <v>39</v>
      </c>
      <c r="X17" s="25">
        <v>39</v>
      </c>
      <c r="Y17" s="25">
        <v>0</v>
      </c>
      <c r="Z17" s="219">
        <v>4</v>
      </c>
      <c r="AA17" s="25">
        <v>4</v>
      </c>
      <c r="AB17" s="25">
        <v>0</v>
      </c>
      <c r="AC17" s="219">
        <v>35</v>
      </c>
      <c r="AD17" s="25">
        <v>35</v>
      </c>
      <c r="AE17" s="25">
        <v>0</v>
      </c>
      <c r="AF17" s="219">
        <v>13</v>
      </c>
      <c r="AG17" s="25">
        <v>13</v>
      </c>
      <c r="AH17" s="25">
        <v>0</v>
      </c>
      <c r="AJ17" s="163"/>
    </row>
    <row r="18" spans="1:36" ht="15" customHeight="1">
      <c r="A18" s="77" t="s">
        <v>136</v>
      </c>
      <c r="B18" s="218">
        <v>-213</v>
      </c>
      <c r="C18" s="64">
        <v>-213</v>
      </c>
      <c r="D18" s="64">
        <v>0</v>
      </c>
      <c r="E18" s="218">
        <v>-149</v>
      </c>
      <c r="F18" s="64">
        <v>-149</v>
      </c>
      <c r="G18" s="64">
        <v>0</v>
      </c>
      <c r="H18" s="218">
        <v>-64</v>
      </c>
      <c r="I18" s="64">
        <v>-64</v>
      </c>
      <c r="J18" s="64">
        <v>0</v>
      </c>
      <c r="K18" s="218">
        <v>45</v>
      </c>
      <c r="L18" s="64">
        <v>45</v>
      </c>
      <c r="M18" s="64">
        <v>0</v>
      </c>
      <c r="N18" s="218">
        <v>-109</v>
      </c>
      <c r="O18" s="64">
        <v>-109</v>
      </c>
      <c r="P18" s="64">
        <v>0</v>
      </c>
      <c r="Q18" s="218">
        <v>-361</v>
      </c>
      <c r="R18" s="64">
        <v>-361</v>
      </c>
      <c r="S18" s="64">
        <v>0</v>
      </c>
      <c r="T18" s="218">
        <v>-296</v>
      </c>
      <c r="U18" s="64">
        <v>-296</v>
      </c>
      <c r="V18" s="64">
        <v>0</v>
      </c>
      <c r="W18" s="218">
        <v>-65</v>
      </c>
      <c r="X18" s="64">
        <v>-65</v>
      </c>
      <c r="Y18" s="64">
        <v>0</v>
      </c>
      <c r="Z18" s="218">
        <v>-62</v>
      </c>
      <c r="AA18" s="64">
        <v>-62</v>
      </c>
      <c r="AB18" s="64">
        <v>0</v>
      </c>
      <c r="AC18" s="218">
        <v>-2</v>
      </c>
      <c r="AD18" s="64">
        <v>-2</v>
      </c>
      <c r="AE18" s="64">
        <v>0</v>
      </c>
      <c r="AF18" s="218">
        <v>16</v>
      </c>
      <c r="AG18" s="64">
        <v>16</v>
      </c>
      <c r="AH18" s="64">
        <v>0</v>
      </c>
      <c r="AJ18" s="163"/>
    </row>
    <row r="19" spans="1:36" ht="15" customHeight="1">
      <c r="A19" s="77" t="s">
        <v>311</v>
      </c>
      <c r="B19" s="218">
        <v>201</v>
      </c>
      <c r="C19" s="64">
        <v>201</v>
      </c>
      <c r="D19" s="64">
        <v>0</v>
      </c>
      <c r="E19" s="218">
        <v>52</v>
      </c>
      <c r="F19" s="64">
        <v>52</v>
      </c>
      <c r="G19" s="64">
        <v>0</v>
      </c>
      <c r="H19" s="218">
        <v>149</v>
      </c>
      <c r="I19" s="64">
        <v>149</v>
      </c>
      <c r="J19" s="64">
        <v>0</v>
      </c>
      <c r="K19" s="218">
        <v>116</v>
      </c>
      <c r="L19" s="64">
        <v>116</v>
      </c>
      <c r="M19" s="64">
        <v>0</v>
      </c>
      <c r="N19" s="218">
        <v>33</v>
      </c>
      <c r="O19" s="64">
        <v>33</v>
      </c>
      <c r="P19" s="64">
        <v>0</v>
      </c>
      <c r="Q19" s="218">
        <v>1669</v>
      </c>
      <c r="R19" s="64">
        <v>1669</v>
      </c>
      <c r="S19" s="64">
        <v>0</v>
      </c>
      <c r="T19" s="218">
        <v>262</v>
      </c>
      <c r="U19" s="64">
        <v>262</v>
      </c>
      <c r="V19" s="64">
        <v>0</v>
      </c>
      <c r="W19" s="218">
        <v>1407</v>
      </c>
      <c r="X19" s="64">
        <v>1407</v>
      </c>
      <c r="Y19" s="64">
        <v>0</v>
      </c>
      <c r="Z19" s="218">
        <v>455</v>
      </c>
      <c r="AA19" s="64">
        <v>455</v>
      </c>
      <c r="AB19" s="64">
        <v>0</v>
      </c>
      <c r="AC19" s="218">
        <v>952</v>
      </c>
      <c r="AD19" s="64">
        <v>952</v>
      </c>
      <c r="AE19" s="64">
        <v>0</v>
      </c>
      <c r="AF19" s="218">
        <v>349</v>
      </c>
      <c r="AG19" s="64">
        <v>349</v>
      </c>
      <c r="AH19" s="64">
        <v>0</v>
      </c>
      <c r="AJ19" s="163"/>
    </row>
    <row r="20" spans="1:36" ht="15" customHeight="1">
      <c r="A20" s="58" t="s">
        <v>310</v>
      </c>
      <c r="B20" s="171">
        <v>931</v>
      </c>
      <c r="C20" s="25">
        <v>931</v>
      </c>
      <c r="D20" s="25">
        <v>0</v>
      </c>
      <c r="E20" s="171">
        <v>402</v>
      </c>
      <c r="F20" s="25">
        <v>402</v>
      </c>
      <c r="G20" s="25">
        <v>0</v>
      </c>
      <c r="H20" s="171">
        <v>529</v>
      </c>
      <c r="I20" s="25">
        <v>529</v>
      </c>
      <c r="J20" s="25">
        <v>0</v>
      </c>
      <c r="K20" s="171">
        <v>269</v>
      </c>
      <c r="L20" s="25">
        <v>269</v>
      </c>
      <c r="M20" s="25">
        <v>0</v>
      </c>
      <c r="N20" s="171">
        <v>260</v>
      </c>
      <c r="O20" s="25">
        <v>260</v>
      </c>
      <c r="P20" s="25">
        <v>0</v>
      </c>
      <c r="Q20" s="171">
        <v>604</v>
      </c>
      <c r="R20" s="25">
        <v>604</v>
      </c>
      <c r="S20" s="25">
        <v>0</v>
      </c>
      <c r="T20" s="171">
        <v>228</v>
      </c>
      <c r="U20" s="25">
        <v>228</v>
      </c>
      <c r="V20" s="25">
        <v>0</v>
      </c>
      <c r="W20" s="171">
        <v>376</v>
      </c>
      <c r="X20" s="25">
        <v>376</v>
      </c>
      <c r="Y20" s="25">
        <v>0</v>
      </c>
      <c r="Z20" s="171">
        <v>220</v>
      </c>
      <c r="AA20" s="25">
        <v>220</v>
      </c>
      <c r="AB20" s="25">
        <v>0</v>
      </c>
      <c r="AC20" s="171">
        <v>156</v>
      </c>
      <c r="AD20" s="25">
        <v>156</v>
      </c>
      <c r="AE20" s="25">
        <v>0</v>
      </c>
      <c r="AF20" s="171">
        <v>71</v>
      </c>
      <c r="AG20" s="25">
        <v>71</v>
      </c>
      <c r="AH20" s="25">
        <v>0</v>
      </c>
      <c r="AJ20" s="163"/>
    </row>
    <row r="21" spans="1:36" ht="15" customHeight="1">
      <c r="A21" s="58" t="s">
        <v>309</v>
      </c>
      <c r="B21" s="171">
        <v>-4</v>
      </c>
      <c r="C21" s="25">
        <v>-4</v>
      </c>
      <c r="D21" s="25">
        <v>0</v>
      </c>
      <c r="E21" s="171">
        <v>3</v>
      </c>
      <c r="F21" s="25">
        <v>3</v>
      </c>
      <c r="G21" s="25">
        <v>0</v>
      </c>
      <c r="H21" s="171">
        <v>-7</v>
      </c>
      <c r="I21" s="25">
        <v>-7</v>
      </c>
      <c r="J21" s="25">
        <v>0</v>
      </c>
      <c r="K21" s="171">
        <v>9</v>
      </c>
      <c r="L21" s="25">
        <v>9</v>
      </c>
      <c r="M21" s="25">
        <v>0</v>
      </c>
      <c r="N21" s="171">
        <v>-16</v>
      </c>
      <c r="O21" s="25">
        <v>-16</v>
      </c>
      <c r="P21" s="25">
        <v>0</v>
      </c>
      <c r="Q21" s="171">
        <v>-48</v>
      </c>
      <c r="R21" s="25">
        <v>-48</v>
      </c>
      <c r="S21" s="25">
        <v>0</v>
      </c>
      <c r="T21" s="171">
        <v>-15</v>
      </c>
      <c r="U21" s="25">
        <v>-15</v>
      </c>
      <c r="V21" s="25">
        <v>0</v>
      </c>
      <c r="W21" s="171">
        <v>-33</v>
      </c>
      <c r="X21" s="25">
        <v>-33</v>
      </c>
      <c r="Y21" s="25">
        <v>0</v>
      </c>
      <c r="Z21" s="171">
        <v>-10</v>
      </c>
      <c r="AA21" s="25">
        <v>-10</v>
      </c>
      <c r="AB21" s="25">
        <v>0</v>
      </c>
      <c r="AC21" s="171">
        <v>-23</v>
      </c>
      <c r="AD21" s="25">
        <v>-23</v>
      </c>
      <c r="AE21" s="25">
        <v>0</v>
      </c>
      <c r="AF21" s="171">
        <v>-13</v>
      </c>
      <c r="AG21" s="25">
        <v>-13</v>
      </c>
      <c r="AH21" s="25">
        <v>0</v>
      </c>
      <c r="AJ21" s="163"/>
    </row>
    <row r="22" spans="1:36" ht="15" customHeight="1">
      <c r="A22" s="33" t="s">
        <v>4</v>
      </c>
      <c r="B22" s="171">
        <v>75</v>
      </c>
      <c r="C22" s="25">
        <v>75</v>
      </c>
      <c r="D22" s="25">
        <v>0</v>
      </c>
      <c r="E22" s="171">
        <v>37</v>
      </c>
      <c r="F22" s="25">
        <v>37</v>
      </c>
      <c r="G22" s="25">
        <v>0</v>
      </c>
      <c r="H22" s="171">
        <v>38</v>
      </c>
      <c r="I22" s="25">
        <v>38</v>
      </c>
      <c r="J22" s="25">
        <v>0</v>
      </c>
      <c r="K22" s="171">
        <v>-19</v>
      </c>
      <c r="L22" s="25">
        <v>-19</v>
      </c>
      <c r="M22" s="25">
        <v>0</v>
      </c>
      <c r="N22" s="171">
        <v>57</v>
      </c>
      <c r="O22" s="25">
        <v>57</v>
      </c>
      <c r="P22" s="25">
        <v>0</v>
      </c>
      <c r="Q22" s="171">
        <v>13</v>
      </c>
      <c r="R22" s="25">
        <v>13</v>
      </c>
      <c r="S22" s="25">
        <v>0</v>
      </c>
      <c r="T22" s="171">
        <v>71</v>
      </c>
      <c r="U22" s="25">
        <v>71</v>
      </c>
      <c r="V22" s="25">
        <v>0</v>
      </c>
      <c r="W22" s="171">
        <v>-57</v>
      </c>
      <c r="X22" s="25">
        <v>-57</v>
      </c>
      <c r="Y22" s="25">
        <v>0</v>
      </c>
      <c r="Z22" s="171">
        <v>-9</v>
      </c>
      <c r="AA22" s="25">
        <v>-9</v>
      </c>
      <c r="AB22" s="25">
        <v>0</v>
      </c>
      <c r="AC22" s="171">
        <v>-48</v>
      </c>
      <c r="AD22" s="25">
        <v>-48</v>
      </c>
      <c r="AE22" s="25">
        <v>0</v>
      </c>
      <c r="AF22" s="171">
        <v>-38</v>
      </c>
      <c r="AG22" s="25">
        <v>-38</v>
      </c>
      <c r="AH22" s="25">
        <v>0</v>
      </c>
      <c r="AJ22" s="163"/>
    </row>
    <row r="23" spans="1:36" ht="15" customHeight="1">
      <c r="A23" s="233" t="s">
        <v>308</v>
      </c>
      <c r="B23" s="217">
        <v>1203</v>
      </c>
      <c r="C23" s="216">
        <v>1203</v>
      </c>
      <c r="D23" s="216">
        <v>0</v>
      </c>
      <c r="E23" s="217">
        <v>495</v>
      </c>
      <c r="F23" s="216">
        <v>495</v>
      </c>
      <c r="G23" s="216">
        <v>0</v>
      </c>
      <c r="H23" s="217">
        <v>708</v>
      </c>
      <c r="I23" s="216">
        <v>708</v>
      </c>
      <c r="J23" s="216">
        <v>0</v>
      </c>
      <c r="K23" s="217">
        <v>375</v>
      </c>
      <c r="L23" s="216">
        <v>375</v>
      </c>
      <c r="M23" s="216">
        <v>0</v>
      </c>
      <c r="N23" s="217">
        <v>333</v>
      </c>
      <c r="O23" s="216">
        <v>333</v>
      </c>
      <c r="P23" s="216">
        <v>0</v>
      </c>
      <c r="Q23" s="217">
        <v>2238</v>
      </c>
      <c r="R23" s="216">
        <v>2238</v>
      </c>
      <c r="S23" s="216">
        <v>0</v>
      </c>
      <c r="T23" s="217">
        <v>545</v>
      </c>
      <c r="U23" s="216">
        <v>545</v>
      </c>
      <c r="V23" s="216">
        <v>0</v>
      </c>
      <c r="W23" s="217">
        <v>1693</v>
      </c>
      <c r="X23" s="216">
        <v>1693</v>
      </c>
      <c r="Y23" s="216">
        <v>0</v>
      </c>
      <c r="Z23" s="217">
        <v>656</v>
      </c>
      <c r="AA23" s="216">
        <v>656</v>
      </c>
      <c r="AB23" s="216">
        <v>0</v>
      </c>
      <c r="AC23" s="217">
        <v>1037</v>
      </c>
      <c r="AD23" s="216">
        <v>1037</v>
      </c>
      <c r="AE23" s="216">
        <v>0</v>
      </c>
      <c r="AF23" s="217">
        <v>369</v>
      </c>
      <c r="AG23" s="216">
        <v>369</v>
      </c>
      <c r="AH23" s="216">
        <v>0</v>
      </c>
      <c r="AJ23" s="163"/>
    </row>
    <row r="24" spans="1:36" ht="15" customHeight="1">
      <c r="A24" s="270" t="s">
        <v>307</v>
      </c>
      <c r="B24" s="171">
        <v>520</v>
      </c>
      <c r="C24" s="25">
        <v>520</v>
      </c>
      <c r="D24" s="25">
        <v>0</v>
      </c>
      <c r="E24" s="171">
        <v>239</v>
      </c>
      <c r="F24" s="25">
        <v>239</v>
      </c>
      <c r="G24" s="25">
        <v>0</v>
      </c>
      <c r="H24" s="171">
        <v>281</v>
      </c>
      <c r="I24" s="25">
        <v>281</v>
      </c>
      <c r="J24" s="25">
        <v>0</v>
      </c>
      <c r="K24" s="171">
        <v>148</v>
      </c>
      <c r="L24" s="25">
        <v>148</v>
      </c>
      <c r="M24" s="25">
        <v>0</v>
      </c>
      <c r="N24" s="171">
        <v>133</v>
      </c>
      <c r="O24" s="25">
        <v>133</v>
      </c>
      <c r="P24" s="25">
        <v>0</v>
      </c>
      <c r="Q24" s="171">
        <v>1160</v>
      </c>
      <c r="R24" s="25">
        <v>1160</v>
      </c>
      <c r="S24" s="25">
        <v>0</v>
      </c>
      <c r="T24" s="171">
        <v>239</v>
      </c>
      <c r="U24" s="25">
        <v>239</v>
      </c>
      <c r="V24" s="25">
        <v>0</v>
      </c>
      <c r="W24" s="171">
        <v>920</v>
      </c>
      <c r="X24" s="25">
        <v>920</v>
      </c>
      <c r="Y24" s="25">
        <v>0</v>
      </c>
      <c r="Z24" s="171">
        <v>333</v>
      </c>
      <c r="AA24" s="25">
        <v>333</v>
      </c>
      <c r="AB24" s="25">
        <v>0</v>
      </c>
      <c r="AC24" s="171">
        <v>588</v>
      </c>
      <c r="AD24" s="25">
        <v>588</v>
      </c>
      <c r="AE24" s="25">
        <v>0</v>
      </c>
      <c r="AF24" s="171">
        <v>259</v>
      </c>
      <c r="AG24" s="25">
        <v>259</v>
      </c>
      <c r="AH24" s="25">
        <v>0</v>
      </c>
      <c r="AJ24" s="163"/>
    </row>
    <row r="25" spans="1:36" ht="15" customHeight="1">
      <c r="A25" s="271" t="s">
        <v>306</v>
      </c>
      <c r="B25" s="171">
        <v>45</v>
      </c>
      <c r="C25" s="25">
        <v>45</v>
      </c>
      <c r="D25" s="25">
        <v>0</v>
      </c>
      <c r="E25" s="171">
        <v>38</v>
      </c>
      <c r="F25" s="25">
        <v>38</v>
      </c>
      <c r="G25" s="25">
        <v>0</v>
      </c>
      <c r="H25" s="171">
        <v>7</v>
      </c>
      <c r="I25" s="25">
        <v>7</v>
      </c>
      <c r="J25" s="25">
        <v>0</v>
      </c>
      <c r="K25" s="171">
        <v>12</v>
      </c>
      <c r="L25" s="25">
        <v>12</v>
      </c>
      <c r="M25" s="25">
        <v>0</v>
      </c>
      <c r="N25" s="171">
        <v>-5</v>
      </c>
      <c r="O25" s="25">
        <v>-5</v>
      </c>
      <c r="P25" s="25">
        <v>0</v>
      </c>
      <c r="Q25" s="171">
        <v>105</v>
      </c>
      <c r="R25" s="25">
        <v>105</v>
      </c>
      <c r="S25" s="25">
        <v>0</v>
      </c>
      <c r="T25" s="171">
        <v>30</v>
      </c>
      <c r="U25" s="25">
        <v>30</v>
      </c>
      <c r="V25" s="25">
        <v>0</v>
      </c>
      <c r="W25" s="171">
        <v>75</v>
      </c>
      <c r="X25" s="25">
        <v>75</v>
      </c>
      <c r="Y25" s="25">
        <v>0</v>
      </c>
      <c r="Z25" s="171">
        <v>43</v>
      </c>
      <c r="AA25" s="25">
        <v>43</v>
      </c>
      <c r="AB25" s="25">
        <v>0</v>
      </c>
      <c r="AC25" s="171">
        <v>32</v>
      </c>
      <c r="AD25" s="25">
        <v>32</v>
      </c>
      <c r="AE25" s="25">
        <v>0</v>
      </c>
      <c r="AF25" s="171">
        <v>11</v>
      </c>
      <c r="AG25" s="25">
        <v>11</v>
      </c>
      <c r="AH25" s="25">
        <v>0</v>
      </c>
      <c r="AJ25" s="163"/>
    </row>
    <row r="26" spans="1:36" ht="15" customHeight="1">
      <c r="A26" s="211" t="s">
        <v>31</v>
      </c>
      <c r="B26" s="206">
        <v>-199</v>
      </c>
      <c r="C26" s="205">
        <v>-215</v>
      </c>
      <c r="D26" s="205">
        <v>17</v>
      </c>
      <c r="E26" s="206">
        <v>-719</v>
      </c>
      <c r="F26" s="205">
        <v>-735</v>
      </c>
      <c r="G26" s="205">
        <v>17</v>
      </c>
      <c r="H26" s="206">
        <v>520</v>
      </c>
      <c r="I26" s="205">
        <v>520</v>
      </c>
      <c r="J26" s="205">
        <v>0</v>
      </c>
      <c r="K26" s="206">
        <v>314</v>
      </c>
      <c r="L26" s="205">
        <v>314</v>
      </c>
      <c r="M26" s="205">
        <v>0</v>
      </c>
      <c r="N26" s="206">
        <v>206</v>
      </c>
      <c r="O26" s="205">
        <v>206</v>
      </c>
      <c r="P26" s="205">
        <v>0</v>
      </c>
      <c r="Q26" s="206">
        <v>792</v>
      </c>
      <c r="R26" s="205">
        <v>878</v>
      </c>
      <c r="S26" s="205">
        <v>-86</v>
      </c>
      <c r="T26" s="206">
        <v>-602</v>
      </c>
      <c r="U26" s="205">
        <v>-493</v>
      </c>
      <c r="V26" s="205">
        <v>-108</v>
      </c>
      <c r="W26" s="206">
        <v>1394</v>
      </c>
      <c r="X26" s="205">
        <v>1371</v>
      </c>
      <c r="Y26" s="205">
        <v>23</v>
      </c>
      <c r="Z26" s="206">
        <v>540</v>
      </c>
      <c r="AA26" s="205">
        <v>539</v>
      </c>
      <c r="AB26" s="205">
        <v>0</v>
      </c>
      <c r="AC26" s="206">
        <v>854</v>
      </c>
      <c r="AD26" s="205">
        <v>831</v>
      </c>
      <c r="AE26" s="205">
        <v>23</v>
      </c>
      <c r="AF26" s="206">
        <v>242</v>
      </c>
      <c r="AG26" s="205">
        <v>219</v>
      </c>
      <c r="AH26" s="205">
        <v>23</v>
      </c>
      <c r="AJ26" s="163"/>
    </row>
    <row r="27" spans="1:36" ht="15" customHeight="1">
      <c r="A27" s="32" t="s">
        <v>7</v>
      </c>
      <c r="B27" s="171">
        <v>52</v>
      </c>
      <c r="C27" s="25">
        <v>36</v>
      </c>
      <c r="D27" s="25">
        <v>16</v>
      </c>
      <c r="E27" s="171">
        <v>-461</v>
      </c>
      <c r="F27" s="25">
        <v>-477</v>
      </c>
      <c r="G27" s="25">
        <v>16</v>
      </c>
      <c r="H27" s="171">
        <v>513</v>
      </c>
      <c r="I27" s="25">
        <v>513</v>
      </c>
      <c r="J27" s="25">
        <v>0</v>
      </c>
      <c r="K27" s="171">
        <v>292</v>
      </c>
      <c r="L27" s="25">
        <v>292</v>
      </c>
      <c r="M27" s="25">
        <v>0</v>
      </c>
      <c r="N27" s="171">
        <v>221</v>
      </c>
      <c r="O27" s="25">
        <v>221</v>
      </c>
      <c r="P27" s="25">
        <v>0</v>
      </c>
      <c r="Q27" s="171">
        <v>527</v>
      </c>
      <c r="R27" s="25">
        <v>613</v>
      </c>
      <c r="S27" s="25">
        <v>-86</v>
      </c>
      <c r="T27" s="171">
        <v>-448</v>
      </c>
      <c r="U27" s="25">
        <v>-344</v>
      </c>
      <c r="V27" s="25">
        <v>-105</v>
      </c>
      <c r="W27" s="171">
        <v>975</v>
      </c>
      <c r="X27" s="25">
        <v>957</v>
      </c>
      <c r="Y27" s="25">
        <v>18</v>
      </c>
      <c r="Z27" s="171">
        <v>345</v>
      </c>
      <c r="AA27" s="25">
        <v>344</v>
      </c>
      <c r="AB27" s="25">
        <v>0</v>
      </c>
      <c r="AC27" s="171">
        <v>631</v>
      </c>
      <c r="AD27" s="25">
        <v>613</v>
      </c>
      <c r="AE27" s="25">
        <v>18</v>
      </c>
      <c r="AF27" s="171">
        <v>193</v>
      </c>
      <c r="AG27" s="25">
        <v>175</v>
      </c>
      <c r="AH27" s="25">
        <v>18</v>
      </c>
      <c r="AJ27" s="163"/>
    </row>
    <row r="28" spans="1:36" ht="15" customHeight="1">
      <c r="A28" s="58" t="s">
        <v>305</v>
      </c>
      <c r="B28" s="171">
        <v>-84</v>
      </c>
      <c r="C28" s="25">
        <v>-100</v>
      </c>
      <c r="D28" s="25">
        <v>16</v>
      </c>
      <c r="E28" s="171">
        <v>-456</v>
      </c>
      <c r="F28" s="25">
        <v>-472</v>
      </c>
      <c r="G28" s="25">
        <v>16</v>
      </c>
      <c r="H28" s="171">
        <v>372</v>
      </c>
      <c r="I28" s="25">
        <v>372</v>
      </c>
      <c r="J28" s="25">
        <v>0</v>
      </c>
      <c r="K28" s="171">
        <v>209</v>
      </c>
      <c r="L28" s="25">
        <v>209</v>
      </c>
      <c r="M28" s="25">
        <v>0</v>
      </c>
      <c r="N28" s="171">
        <v>163</v>
      </c>
      <c r="O28" s="25">
        <v>163</v>
      </c>
      <c r="P28" s="25">
        <v>0</v>
      </c>
      <c r="Q28" s="171">
        <v>278</v>
      </c>
      <c r="R28" s="25">
        <v>357</v>
      </c>
      <c r="S28" s="25">
        <v>-79</v>
      </c>
      <c r="T28" s="171">
        <v>-404</v>
      </c>
      <c r="U28" s="25">
        <v>-308</v>
      </c>
      <c r="V28" s="25">
        <v>-96</v>
      </c>
      <c r="W28" s="171">
        <v>683</v>
      </c>
      <c r="X28" s="25">
        <v>665</v>
      </c>
      <c r="Y28" s="25">
        <v>18</v>
      </c>
      <c r="Z28" s="171">
        <v>232</v>
      </c>
      <c r="AA28" s="25">
        <v>232</v>
      </c>
      <c r="AB28" s="25">
        <v>0</v>
      </c>
      <c r="AC28" s="171">
        <v>450</v>
      </c>
      <c r="AD28" s="25">
        <v>433</v>
      </c>
      <c r="AE28" s="25">
        <v>18</v>
      </c>
      <c r="AF28" s="171">
        <v>150</v>
      </c>
      <c r="AG28" s="25">
        <v>132</v>
      </c>
      <c r="AH28" s="25">
        <v>18</v>
      </c>
      <c r="AJ28" s="163"/>
    </row>
    <row r="29" spans="1:36" ht="15" customHeight="1">
      <c r="A29" s="272" t="s">
        <v>304</v>
      </c>
      <c r="B29" s="213">
        <v>968</v>
      </c>
      <c r="C29" s="59">
        <v>968</v>
      </c>
      <c r="D29" s="59">
        <v>0</v>
      </c>
      <c r="E29" s="213">
        <v>367</v>
      </c>
      <c r="F29" s="59">
        <v>367</v>
      </c>
      <c r="G29" s="59">
        <v>0</v>
      </c>
      <c r="H29" s="213">
        <v>600</v>
      </c>
      <c r="I29" s="59">
        <v>600</v>
      </c>
      <c r="J29" s="59">
        <v>0</v>
      </c>
      <c r="K29" s="213">
        <v>364</v>
      </c>
      <c r="L29" s="59">
        <v>364</v>
      </c>
      <c r="M29" s="59">
        <v>0</v>
      </c>
      <c r="N29" s="213">
        <v>237</v>
      </c>
      <c r="O29" s="59">
        <v>237</v>
      </c>
      <c r="P29" s="59">
        <v>0</v>
      </c>
      <c r="Q29" s="213">
        <v>1132</v>
      </c>
      <c r="R29" s="59">
        <v>1132</v>
      </c>
      <c r="S29" s="59">
        <v>0</v>
      </c>
      <c r="T29" s="213">
        <v>348</v>
      </c>
      <c r="U29" s="59">
        <v>348</v>
      </c>
      <c r="V29" s="59">
        <v>0</v>
      </c>
      <c r="W29" s="213">
        <v>785</v>
      </c>
      <c r="X29" s="59">
        <v>785</v>
      </c>
      <c r="Y29" s="59">
        <v>0</v>
      </c>
      <c r="Z29" s="213">
        <v>281</v>
      </c>
      <c r="AA29" s="59">
        <v>281</v>
      </c>
      <c r="AB29" s="59">
        <v>0</v>
      </c>
      <c r="AC29" s="213">
        <v>504</v>
      </c>
      <c r="AD29" s="59">
        <v>504</v>
      </c>
      <c r="AE29" s="59">
        <v>0</v>
      </c>
      <c r="AF29" s="213">
        <v>202</v>
      </c>
      <c r="AG29" s="59">
        <v>202</v>
      </c>
      <c r="AH29" s="59">
        <v>0</v>
      </c>
      <c r="AJ29" s="163"/>
    </row>
    <row r="30" spans="1:36" ht="15" customHeight="1">
      <c r="A30" s="211" t="s">
        <v>2</v>
      </c>
      <c r="B30" s="212">
        <v>-0.26</v>
      </c>
      <c r="C30" s="60">
        <v>-0.31</v>
      </c>
      <c r="D30" s="60">
        <v>0.05</v>
      </c>
      <c r="E30" s="212">
        <v>-1.4</v>
      </c>
      <c r="F30" s="60">
        <v>-1.45</v>
      </c>
      <c r="G30" s="60">
        <v>0.05</v>
      </c>
      <c r="H30" s="212">
        <v>1.1399999999999999</v>
      </c>
      <c r="I30" s="60">
        <v>1.1399999999999999</v>
      </c>
      <c r="J30" s="60">
        <v>0</v>
      </c>
      <c r="K30" s="212">
        <v>0.64</v>
      </c>
      <c r="L30" s="60">
        <v>0.64</v>
      </c>
      <c r="M30" s="60">
        <v>0</v>
      </c>
      <c r="N30" s="212">
        <v>0.5</v>
      </c>
      <c r="O30" s="60">
        <v>0.5</v>
      </c>
      <c r="P30" s="60">
        <v>0</v>
      </c>
      <c r="Q30" s="212">
        <v>0.85</v>
      </c>
      <c r="R30" s="60">
        <v>1.0900000000000001</v>
      </c>
      <c r="S30" s="60">
        <v>-0.24</v>
      </c>
      <c r="T30" s="212">
        <v>-1.24</v>
      </c>
      <c r="U30" s="60">
        <v>-0.94</v>
      </c>
      <c r="V30" s="60">
        <v>-0.3</v>
      </c>
      <c r="W30" s="212">
        <v>2.09</v>
      </c>
      <c r="X30" s="60">
        <v>2.04</v>
      </c>
      <c r="Y30" s="60">
        <v>0.05</v>
      </c>
      <c r="Z30" s="212">
        <v>0.71</v>
      </c>
      <c r="AA30" s="60">
        <v>0.71</v>
      </c>
      <c r="AB30" s="60">
        <v>0</v>
      </c>
      <c r="AC30" s="212">
        <v>1.38</v>
      </c>
      <c r="AD30" s="60">
        <v>1.33</v>
      </c>
      <c r="AE30" s="60">
        <v>0.05</v>
      </c>
      <c r="AF30" s="212">
        <v>0.46</v>
      </c>
      <c r="AG30" s="60">
        <v>0.4</v>
      </c>
      <c r="AH30" s="60">
        <v>0.05</v>
      </c>
      <c r="AJ30" s="163"/>
    </row>
    <row r="31" spans="1:36" ht="15" customHeight="1">
      <c r="A31" s="273" t="s">
        <v>303</v>
      </c>
      <c r="B31" s="189">
        <v>2.97</v>
      </c>
      <c r="C31" s="23">
        <v>2.97</v>
      </c>
      <c r="D31" s="23">
        <v>0</v>
      </c>
      <c r="E31" s="189">
        <v>1.1299999999999999</v>
      </c>
      <c r="F31" s="23">
        <v>1.1299999999999999</v>
      </c>
      <c r="G31" s="23">
        <v>0</v>
      </c>
      <c r="H31" s="189">
        <v>1.84</v>
      </c>
      <c r="I31" s="23">
        <v>1.84</v>
      </c>
      <c r="J31" s="23">
        <v>0</v>
      </c>
      <c r="K31" s="189">
        <v>1.1100000000000001</v>
      </c>
      <c r="L31" s="23">
        <v>1.1100000000000001</v>
      </c>
      <c r="M31" s="23">
        <v>0</v>
      </c>
      <c r="N31" s="189">
        <v>0.73</v>
      </c>
      <c r="O31" s="23">
        <v>0.73</v>
      </c>
      <c r="P31" s="23">
        <v>0</v>
      </c>
      <c r="Q31" s="189">
        <v>3.47</v>
      </c>
      <c r="R31" s="23">
        <v>3.47</v>
      </c>
      <c r="S31" s="23">
        <v>0</v>
      </c>
      <c r="T31" s="189">
        <v>1.07</v>
      </c>
      <c r="U31" s="23">
        <v>1.07</v>
      </c>
      <c r="V31" s="23">
        <v>0</v>
      </c>
      <c r="W31" s="189">
        <v>2.41</v>
      </c>
      <c r="X31" s="23">
        <v>2.41</v>
      </c>
      <c r="Y31" s="23">
        <v>0</v>
      </c>
      <c r="Z31" s="189">
        <v>0.86</v>
      </c>
      <c r="AA31" s="23">
        <v>0.86</v>
      </c>
      <c r="AB31" s="23">
        <v>0</v>
      </c>
      <c r="AC31" s="189">
        <v>1.54</v>
      </c>
      <c r="AD31" s="23">
        <v>1.54</v>
      </c>
      <c r="AE31" s="23">
        <v>0</v>
      </c>
      <c r="AF31" s="189">
        <v>0.62</v>
      </c>
      <c r="AG31" s="23">
        <v>0.62</v>
      </c>
      <c r="AH31" s="23">
        <v>0</v>
      </c>
      <c r="AJ31" s="163"/>
    </row>
    <row r="32" spans="1:36" ht="15" customHeight="1">
      <c r="A32" s="211" t="s">
        <v>8</v>
      </c>
      <c r="B32" s="206">
        <v>2400</v>
      </c>
      <c r="C32" s="205">
        <v>2400</v>
      </c>
      <c r="D32" s="205">
        <v>0</v>
      </c>
      <c r="E32" s="206">
        <v>1135</v>
      </c>
      <c r="F32" s="205">
        <v>1135</v>
      </c>
      <c r="G32" s="205">
        <v>0</v>
      </c>
      <c r="H32" s="206">
        <v>1264</v>
      </c>
      <c r="I32" s="205">
        <v>1264</v>
      </c>
      <c r="J32" s="205">
        <v>0</v>
      </c>
      <c r="K32" s="206">
        <v>858</v>
      </c>
      <c r="L32" s="205">
        <v>858</v>
      </c>
      <c r="M32" s="205">
        <v>0</v>
      </c>
      <c r="N32" s="206">
        <v>406</v>
      </c>
      <c r="O32" s="205">
        <v>406</v>
      </c>
      <c r="P32" s="205">
        <v>0</v>
      </c>
      <c r="Q32" s="206">
        <v>3666</v>
      </c>
      <c r="R32" s="205">
        <v>3666</v>
      </c>
      <c r="S32" s="205">
        <v>0</v>
      </c>
      <c r="T32" s="206">
        <v>1445</v>
      </c>
      <c r="U32" s="205">
        <v>1445</v>
      </c>
      <c r="V32" s="205">
        <v>0</v>
      </c>
      <c r="W32" s="206">
        <v>2221</v>
      </c>
      <c r="X32" s="205">
        <v>2221</v>
      </c>
      <c r="Y32" s="205">
        <v>0</v>
      </c>
      <c r="Z32" s="206">
        <v>634</v>
      </c>
      <c r="AA32" s="205">
        <v>634</v>
      </c>
      <c r="AB32" s="205">
        <v>0</v>
      </c>
      <c r="AC32" s="206">
        <v>1587</v>
      </c>
      <c r="AD32" s="205">
        <v>1587</v>
      </c>
      <c r="AE32" s="205">
        <v>0</v>
      </c>
      <c r="AF32" s="206">
        <v>680</v>
      </c>
      <c r="AG32" s="205">
        <v>680</v>
      </c>
      <c r="AH32" s="205">
        <v>0</v>
      </c>
      <c r="AJ32" s="163"/>
    </row>
    <row r="33" spans="1:36" ht="15" customHeight="1">
      <c r="A33" s="33" t="s">
        <v>116</v>
      </c>
      <c r="B33" s="184">
        <v>7.35</v>
      </c>
      <c r="C33" s="23">
        <v>7.35</v>
      </c>
      <c r="D33" s="23">
        <v>0</v>
      </c>
      <c r="E33" s="184">
        <v>3.48</v>
      </c>
      <c r="F33" s="23">
        <v>3.48</v>
      </c>
      <c r="G33" s="23">
        <v>0</v>
      </c>
      <c r="H33" s="184">
        <v>3.88</v>
      </c>
      <c r="I33" s="23">
        <v>3.88</v>
      </c>
      <c r="J33" s="23">
        <v>0</v>
      </c>
      <c r="K33" s="184">
        <v>2.63</v>
      </c>
      <c r="L33" s="23">
        <v>2.63</v>
      </c>
      <c r="M33" s="23">
        <v>0</v>
      </c>
      <c r="N33" s="184">
        <v>1.24</v>
      </c>
      <c r="O33" s="23">
        <v>1.24</v>
      </c>
      <c r="P33" s="23">
        <v>0</v>
      </c>
      <c r="Q33" s="184">
        <v>11.24</v>
      </c>
      <c r="R33" s="23">
        <v>11.24</v>
      </c>
      <c r="S33" s="23">
        <v>0</v>
      </c>
      <c r="T33" s="184">
        <v>4.43</v>
      </c>
      <c r="U33" s="23">
        <v>4.43</v>
      </c>
      <c r="V33" s="23">
        <v>0</v>
      </c>
      <c r="W33" s="184">
        <v>6.81</v>
      </c>
      <c r="X33" s="23">
        <v>6.81</v>
      </c>
      <c r="Y33" s="23">
        <v>0</v>
      </c>
      <c r="Z33" s="184">
        <v>1.94</v>
      </c>
      <c r="AA33" s="23">
        <v>1.94</v>
      </c>
      <c r="AB33" s="23">
        <v>0</v>
      </c>
      <c r="AC33" s="184">
        <v>4.8600000000000003</v>
      </c>
      <c r="AD33" s="23">
        <v>4.8600000000000003</v>
      </c>
      <c r="AE33" s="23">
        <v>0</v>
      </c>
      <c r="AF33" s="184">
        <v>2.08</v>
      </c>
      <c r="AG33" s="23">
        <v>2.08</v>
      </c>
      <c r="AH33" s="23">
        <v>0</v>
      </c>
      <c r="AJ33" s="163"/>
    </row>
    <row r="34" spans="1:36" ht="15" customHeight="1">
      <c r="A34" s="211" t="s">
        <v>9</v>
      </c>
      <c r="B34" s="206">
        <v>5398</v>
      </c>
      <c r="C34" s="205">
        <v>5398</v>
      </c>
      <c r="D34" s="205">
        <v>0</v>
      </c>
      <c r="E34" s="206">
        <v>5398</v>
      </c>
      <c r="F34" s="205">
        <v>5398</v>
      </c>
      <c r="G34" s="205">
        <v>0</v>
      </c>
      <c r="H34" s="206">
        <v>5901</v>
      </c>
      <c r="I34" s="205">
        <v>5901</v>
      </c>
      <c r="J34" s="205">
        <v>0</v>
      </c>
      <c r="K34" s="206">
        <v>5901</v>
      </c>
      <c r="L34" s="205">
        <v>5901</v>
      </c>
      <c r="M34" s="205">
        <v>0</v>
      </c>
      <c r="N34" s="206">
        <v>5459</v>
      </c>
      <c r="O34" s="205">
        <v>5459</v>
      </c>
      <c r="P34" s="205">
        <v>0</v>
      </c>
      <c r="Q34" s="206">
        <v>4902</v>
      </c>
      <c r="R34" s="205">
        <v>4902</v>
      </c>
      <c r="S34" s="205">
        <v>0</v>
      </c>
      <c r="T34" s="206">
        <v>4902</v>
      </c>
      <c r="U34" s="205">
        <v>4902</v>
      </c>
      <c r="V34" s="205">
        <v>0</v>
      </c>
      <c r="W34" s="206">
        <v>5350</v>
      </c>
      <c r="X34" s="205">
        <v>5350</v>
      </c>
      <c r="Y34" s="205">
        <v>0</v>
      </c>
      <c r="Z34" s="206">
        <v>5350</v>
      </c>
      <c r="AA34" s="205">
        <v>5350</v>
      </c>
      <c r="AB34" s="205">
        <v>0</v>
      </c>
      <c r="AC34" s="206">
        <v>4935</v>
      </c>
      <c r="AD34" s="205">
        <v>4935</v>
      </c>
      <c r="AE34" s="205">
        <v>0</v>
      </c>
      <c r="AF34" s="206">
        <v>4935</v>
      </c>
      <c r="AG34" s="205">
        <v>4935</v>
      </c>
      <c r="AH34" s="205">
        <v>0</v>
      </c>
      <c r="AJ34" s="163"/>
    </row>
    <row r="35" spans="1:36" ht="15" customHeight="1">
      <c r="A35" s="32" t="s">
        <v>125</v>
      </c>
      <c r="B35" s="171">
        <v>39</v>
      </c>
      <c r="C35" s="25">
        <v>38</v>
      </c>
      <c r="D35" s="25">
        <v>0</v>
      </c>
      <c r="E35" s="171">
        <v>39</v>
      </c>
      <c r="F35" s="25">
        <v>38</v>
      </c>
      <c r="G35" s="25">
        <v>0</v>
      </c>
      <c r="H35" s="171">
        <v>40</v>
      </c>
      <c r="I35" s="25">
        <v>40</v>
      </c>
      <c r="J35" s="25">
        <v>0</v>
      </c>
      <c r="K35" s="171">
        <v>40</v>
      </c>
      <c r="L35" s="25">
        <v>40</v>
      </c>
      <c r="M35" s="25">
        <v>0</v>
      </c>
      <c r="N35" s="171">
        <v>35</v>
      </c>
      <c r="O35" s="25">
        <v>35</v>
      </c>
      <c r="P35" s="25">
        <v>0</v>
      </c>
      <c r="Q35" s="171">
        <v>34</v>
      </c>
      <c r="R35" s="25">
        <v>34</v>
      </c>
      <c r="S35" s="25">
        <v>0</v>
      </c>
      <c r="T35" s="171">
        <v>34</v>
      </c>
      <c r="U35" s="25">
        <v>34</v>
      </c>
      <c r="V35" s="25">
        <v>0</v>
      </c>
      <c r="W35" s="171">
        <v>35</v>
      </c>
      <c r="X35" s="25">
        <v>35</v>
      </c>
      <c r="Y35" s="25">
        <v>0</v>
      </c>
      <c r="Z35" s="171">
        <v>35</v>
      </c>
      <c r="AA35" s="25">
        <v>35</v>
      </c>
      <c r="AB35" s="25">
        <v>0</v>
      </c>
      <c r="AC35" s="171">
        <v>33</v>
      </c>
      <c r="AD35" s="25">
        <v>33</v>
      </c>
      <c r="AE35" s="25">
        <v>0</v>
      </c>
      <c r="AF35" s="171">
        <v>33</v>
      </c>
      <c r="AG35" s="25">
        <v>33</v>
      </c>
      <c r="AH35" s="25">
        <v>0</v>
      </c>
      <c r="AJ35" s="163"/>
    </row>
    <row r="36" spans="1:36" ht="15" customHeight="1">
      <c r="A36" s="33" t="s">
        <v>140</v>
      </c>
      <c r="B36" s="171">
        <v>1997</v>
      </c>
      <c r="C36" s="25">
        <v>1997</v>
      </c>
      <c r="D36" s="25">
        <v>0</v>
      </c>
      <c r="E36" s="171">
        <v>600</v>
      </c>
      <c r="F36" s="25">
        <v>600</v>
      </c>
      <c r="G36" s="25">
        <v>0</v>
      </c>
      <c r="H36" s="171">
        <v>1396</v>
      </c>
      <c r="I36" s="25">
        <v>1396</v>
      </c>
      <c r="J36" s="25">
        <v>0</v>
      </c>
      <c r="K36" s="171">
        <v>689</v>
      </c>
      <c r="L36" s="25">
        <v>689</v>
      </c>
      <c r="M36" s="25">
        <v>0</v>
      </c>
      <c r="N36" s="171">
        <v>707</v>
      </c>
      <c r="O36" s="25">
        <v>707</v>
      </c>
      <c r="P36" s="25">
        <v>0</v>
      </c>
      <c r="Q36" s="171">
        <v>3832</v>
      </c>
      <c r="R36" s="25">
        <v>3832</v>
      </c>
      <c r="S36" s="25">
        <v>0</v>
      </c>
      <c r="T36" s="171">
        <v>1066</v>
      </c>
      <c r="U36" s="25">
        <v>1066</v>
      </c>
      <c r="V36" s="25">
        <v>0</v>
      </c>
      <c r="W36" s="171">
        <v>2766</v>
      </c>
      <c r="X36" s="25">
        <v>2766</v>
      </c>
      <c r="Y36" s="25">
        <v>0</v>
      </c>
      <c r="Z36" s="171">
        <v>961</v>
      </c>
      <c r="AA36" s="25">
        <v>961</v>
      </c>
      <c r="AB36" s="25">
        <v>0</v>
      </c>
      <c r="AC36" s="171">
        <v>1805</v>
      </c>
      <c r="AD36" s="25">
        <v>1805</v>
      </c>
      <c r="AE36" s="25">
        <v>0</v>
      </c>
      <c r="AF36" s="171">
        <v>1058</v>
      </c>
      <c r="AG36" s="25">
        <v>1058</v>
      </c>
      <c r="AH36" s="25">
        <v>0</v>
      </c>
      <c r="AJ36" s="163"/>
    </row>
    <row r="37" spans="1:36" ht="15" customHeight="1">
      <c r="A37" s="211" t="s">
        <v>168</v>
      </c>
      <c r="B37" s="206">
        <v>-4</v>
      </c>
      <c r="C37" s="205">
        <v>-3</v>
      </c>
      <c r="D37" s="205">
        <v>0</v>
      </c>
      <c r="E37" s="206"/>
      <c r="F37" s="205"/>
      <c r="G37" s="205"/>
      <c r="H37" s="206">
        <v>2</v>
      </c>
      <c r="I37" s="205">
        <v>3</v>
      </c>
      <c r="J37" s="205">
        <v>0</v>
      </c>
      <c r="K37" s="206"/>
      <c r="L37" s="205"/>
      <c r="M37" s="205"/>
      <c r="N37" s="206">
        <v>2</v>
      </c>
      <c r="O37" s="205">
        <v>3</v>
      </c>
      <c r="P37" s="205">
        <v>0</v>
      </c>
      <c r="Q37" s="206">
        <v>5</v>
      </c>
      <c r="R37" s="205">
        <v>5</v>
      </c>
      <c r="S37" s="205">
        <v>0</v>
      </c>
      <c r="T37" s="206"/>
      <c r="U37" s="205"/>
      <c r="V37" s="205"/>
      <c r="W37" s="206">
        <v>8</v>
      </c>
      <c r="X37" s="205">
        <v>8</v>
      </c>
      <c r="Y37" s="205">
        <v>0</v>
      </c>
      <c r="Z37" s="206"/>
      <c r="AA37" s="205"/>
      <c r="AB37" s="205"/>
      <c r="AC37" s="206">
        <v>8</v>
      </c>
      <c r="AD37" s="205">
        <v>8</v>
      </c>
      <c r="AE37" s="205">
        <v>0</v>
      </c>
      <c r="AF37" s="206"/>
      <c r="AG37" s="205"/>
      <c r="AH37" s="205"/>
      <c r="AJ37" s="163"/>
    </row>
    <row r="38" spans="1:36" ht="15" customHeight="1">
      <c r="A38" s="32" t="s">
        <v>169</v>
      </c>
      <c r="B38" s="171">
        <v>-1</v>
      </c>
      <c r="C38" s="25">
        <v>-1</v>
      </c>
      <c r="D38" s="25">
        <v>0</v>
      </c>
      <c r="E38" s="171"/>
      <c r="F38" s="25"/>
      <c r="G38" s="25"/>
      <c r="H38" s="171">
        <v>2</v>
      </c>
      <c r="I38" s="25">
        <v>3</v>
      </c>
      <c r="J38" s="25">
        <v>-1</v>
      </c>
      <c r="K38" s="171"/>
      <c r="L38" s="25"/>
      <c r="M38" s="25"/>
      <c r="N38" s="171">
        <v>2</v>
      </c>
      <c r="O38" s="25">
        <v>2</v>
      </c>
      <c r="P38" s="25">
        <v>0</v>
      </c>
      <c r="Q38" s="171">
        <v>3</v>
      </c>
      <c r="R38" s="25">
        <v>4</v>
      </c>
      <c r="S38" s="25">
        <v>0</v>
      </c>
      <c r="T38" s="171"/>
      <c r="U38" s="25"/>
      <c r="V38" s="25"/>
      <c r="W38" s="171">
        <v>6</v>
      </c>
      <c r="X38" s="25">
        <v>6</v>
      </c>
      <c r="Y38" s="25">
        <v>0</v>
      </c>
      <c r="Z38" s="171"/>
      <c r="AA38" s="25"/>
      <c r="AB38" s="25"/>
      <c r="AC38" s="171">
        <v>7</v>
      </c>
      <c r="AD38" s="25">
        <v>7</v>
      </c>
      <c r="AE38" s="25">
        <v>0</v>
      </c>
      <c r="AF38" s="171"/>
      <c r="AG38" s="25"/>
      <c r="AH38" s="25"/>
      <c r="AJ38" s="163"/>
    </row>
    <row r="39" spans="1:36" ht="15" customHeight="1">
      <c r="A39" s="235" t="s">
        <v>302</v>
      </c>
      <c r="B39" s="171">
        <v>9</v>
      </c>
      <c r="C39" s="25">
        <v>9</v>
      </c>
      <c r="D39" s="25">
        <v>0</v>
      </c>
      <c r="E39" s="171"/>
      <c r="F39" s="25"/>
      <c r="G39" s="25"/>
      <c r="H39" s="171">
        <v>8</v>
      </c>
      <c r="I39" s="25">
        <v>8</v>
      </c>
      <c r="J39" s="25">
        <v>0</v>
      </c>
      <c r="K39" s="171"/>
      <c r="L39" s="25"/>
      <c r="M39" s="25"/>
      <c r="N39" s="171">
        <v>8</v>
      </c>
      <c r="O39" s="25">
        <v>8</v>
      </c>
      <c r="P39" s="25">
        <v>0</v>
      </c>
      <c r="Q39" s="171">
        <v>9</v>
      </c>
      <c r="R39" s="25">
        <v>9</v>
      </c>
      <c r="S39" s="25">
        <v>0</v>
      </c>
      <c r="T39" s="171"/>
      <c r="U39" s="25"/>
      <c r="V39" s="25"/>
      <c r="W39" s="171">
        <v>9</v>
      </c>
      <c r="X39" s="25">
        <v>9</v>
      </c>
      <c r="Y39" s="25">
        <v>0</v>
      </c>
      <c r="Z39" s="171"/>
      <c r="AA39" s="25"/>
      <c r="AB39" s="25"/>
      <c r="AC39" s="171">
        <v>9</v>
      </c>
      <c r="AD39" s="25">
        <v>9</v>
      </c>
      <c r="AE39" s="25">
        <v>0</v>
      </c>
      <c r="AF39" s="171"/>
      <c r="AG39" s="25"/>
      <c r="AH39" s="25"/>
      <c r="AJ39" s="163"/>
    </row>
    <row r="40" spans="1:36" ht="15" customHeight="1">
      <c r="A40" s="33" t="s">
        <v>301</v>
      </c>
      <c r="B40" s="171">
        <v>-3</v>
      </c>
      <c r="C40" s="25">
        <v>-2</v>
      </c>
      <c r="D40" s="25">
        <v>-1</v>
      </c>
      <c r="E40" s="171"/>
      <c r="F40" s="25"/>
      <c r="G40" s="25"/>
      <c r="H40" s="171">
        <v>3</v>
      </c>
      <c r="I40" s="25">
        <v>3</v>
      </c>
      <c r="J40" s="25">
        <v>-1</v>
      </c>
      <c r="K40" s="171"/>
      <c r="L40" s="25"/>
      <c r="M40" s="25"/>
      <c r="N40" s="171">
        <v>2</v>
      </c>
      <c r="O40" s="25">
        <v>3</v>
      </c>
      <c r="P40" s="25">
        <v>-1</v>
      </c>
      <c r="Q40" s="171">
        <v>4</v>
      </c>
      <c r="R40" s="25">
        <v>4</v>
      </c>
      <c r="S40" s="25">
        <v>-1</v>
      </c>
      <c r="T40" s="171"/>
      <c r="U40" s="25"/>
      <c r="V40" s="25"/>
      <c r="W40" s="171">
        <v>7</v>
      </c>
      <c r="X40" s="25">
        <v>7</v>
      </c>
      <c r="Y40" s="25">
        <v>0</v>
      </c>
      <c r="Z40" s="171"/>
      <c r="AA40" s="25"/>
      <c r="AB40" s="25"/>
      <c r="AC40" s="171">
        <v>7</v>
      </c>
      <c r="AD40" s="25">
        <v>7</v>
      </c>
      <c r="AE40" s="25">
        <v>0</v>
      </c>
      <c r="AF40" s="171"/>
      <c r="AG40" s="25"/>
      <c r="AH40" s="25"/>
      <c r="AJ40" s="163"/>
    </row>
    <row r="41" spans="1:36" ht="15" customHeight="1">
      <c r="A41" s="274" t="s">
        <v>123</v>
      </c>
      <c r="B41" s="206">
        <v>126</v>
      </c>
      <c r="C41" s="205">
        <v>117</v>
      </c>
      <c r="D41" s="205">
        <v>10</v>
      </c>
      <c r="E41" s="206">
        <v>36</v>
      </c>
      <c r="F41" s="205">
        <v>35</v>
      </c>
      <c r="G41" s="205">
        <v>1</v>
      </c>
      <c r="H41" s="206">
        <v>1</v>
      </c>
      <c r="I41" s="205">
        <v>1</v>
      </c>
      <c r="J41" s="205">
        <v>0</v>
      </c>
      <c r="K41" s="206">
        <v>7</v>
      </c>
      <c r="L41" s="205">
        <v>7</v>
      </c>
      <c r="M41" s="205">
        <v>0</v>
      </c>
      <c r="N41" s="206">
        <v>-8</v>
      </c>
      <c r="O41" s="205">
        <v>-8</v>
      </c>
      <c r="P41" s="205">
        <v>0</v>
      </c>
      <c r="Q41" s="206">
        <v>33</v>
      </c>
      <c r="R41" s="205">
        <v>30</v>
      </c>
      <c r="S41" s="205">
        <v>3</v>
      </c>
      <c r="T41" s="206">
        <v>26</v>
      </c>
      <c r="U41" s="205">
        <v>30</v>
      </c>
      <c r="V41" s="205">
        <v>-5</v>
      </c>
      <c r="W41" s="206">
        <v>30</v>
      </c>
      <c r="X41" s="205">
        <v>30</v>
      </c>
      <c r="Y41" s="205">
        <v>0</v>
      </c>
      <c r="Z41" s="206">
        <v>36</v>
      </c>
      <c r="AA41" s="205">
        <v>36</v>
      </c>
      <c r="AB41" s="205">
        <v>0</v>
      </c>
      <c r="AC41" s="206">
        <v>26</v>
      </c>
      <c r="AD41" s="205">
        <v>26</v>
      </c>
      <c r="AE41" s="205">
        <v>0</v>
      </c>
      <c r="AF41" s="206">
        <v>20</v>
      </c>
      <c r="AG41" s="205">
        <v>20</v>
      </c>
      <c r="AH41" s="205">
        <v>0</v>
      </c>
      <c r="AJ41" s="163"/>
    </row>
    <row r="42" spans="1:36" ht="15" customHeight="1" thickBot="1">
      <c r="A42" s="102" t="s">
        <v>115</v>
      </c>
      <c r="B42" s="204">
        <v>24470</v>
      </c>
      <c r="C42" s="101">
        <v>24470</v>
      </c>
      <c r="D42" s="101">
        <v>0</v>
      </c>
      <c r="E42" s="204">
        <v>24470</v>
      </c>
      <c r="F42" s="101">
        <v>24470</v>
      </c>
      <c r="G42" s="101">
        <v>0</v>
      </c>
      <c r="H42" s="204">
        <v>24960</v>
      </c>
      <c r="I42" s="101">
        <v>24960</v>
      </c>
      <c r="J42" s="101">
        <v>0</v>
      </c>
      <c r="K42" s="204">
        <v>24960</v>
      </c>
      <c r="L42" s="101">
        <v>24960</v>
      </c>
      <c r="M42" s="101">
        <v>0</v>
      </c>
      <c r="N42" s="204">
        <v>25287</v>
      </c>
      <c r="O42" s="101">
        <v>25287</v>
      </c>
      <c r="P42" s="101">
        <v>0</v>
      </c>
      <c r="Q42" s="204">
        <v>25501</v>
      </c>
      <c r="R42" s="101">
        <v>25501</v>
      </c>
      <c r="S42" s="101">
        <v>0</v>
      </c>
      <c r="T42" s="204">
        <v>25501</v>
      </c>
      <c r="U42" s="101">
        <v>25501</v>
      </c>
      <c r="V42" s="101">
        <v>0</v>
      </c>
      <c r="W42" s="204">
        <v>26783</v>
      </c>
      <c r="X42" s="101">
        <v>26783</v>
      </c>
      <c r="Y42" s="101">
        <v>0</v>
      </c>
      <c r="Z42" s="204">
        <v>26783</v>
      </c>
      <c r="AA42" s="101">
        <v>26783</v>
      </c>
      <c r="AB42" s="101">
        <v>0</v>
      </c>
      <c r="AC42" s="204">
        <v>26773</v>
      </c>
      <c r="AD42" s="101">
        <v>26773</v>
      </c>
      <c r="AE42" s="101">
        <v>0</v>
      </c>
      <c r="AF42" s="204">
        <v>26773</v>
      </c>
      <c r="AG42" s="101">
        <v>26773</v>
      </c>
      <c r="AH42" s="101">
        <v>0</v>
      </c>
      <c r="AJ42" s="163"/>
    </row>
    <row r="43" spans="1:36" ht="15" customHeight="1" thickTop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J43" s="163"/>
    </row>
    <row r="44" spans="1:36" ht="15" customHeight="1">
      <c r="A44" s="203" t="s">
        <v>300</v>
      </c>
      <c r="AJ44" s="163"/>
    </row>
    <row r="45" spans="1:36" ht="15" customHeight="1">
      <c r="A45" s="203" t="s">
        <v>299</v>
      </c>
      <c r="AJ45" s="163"/>
    </row>
    <row r="46" spans="1:36" ht="15" customHeight="1">
      <c r="A46" s="203" t="s">
        <v>298</v>
      </c>
      <c r="AJ46" s="163"/>
    </row>
    <row r="47" spans="1:36" ht="15" customHeight="1">
      <c r="A47" s="203" t="s">
        <v>297</v>
      </c>
      <c r="AJ47" s="163"/>
    </row>
    <row r="48" spans="1:36" ht="15" customHeight="1">
      <c r="A48" s="203" t="s">
        <v>296</v>
      </c>
      <c r="AJ48" s="163"/>
    </row>
    <row r="49" spans="1:36" ht="15" customHeight="1">
      <c r="AJ49" s="163"/>
    </row>
    <row r="50" spans="1:36" ht="15" customHeight="1">
      <c r="AJ50" s="163"/>
    </row>
    <row r="51" spans="1:36">
      <c r="A51" s="40" t="s">
        <v>188</v>
      </c>
      <c r="AJ51" s="163"/>
    </row>
    <row r="52" spans="1:36" ht="30" customHeight="1">
      <c r="B52" s="251" t="e">
        <f>INDEX(#REF!,MATCH(-174564184,#REF!,0),Sy_nop)</f>
        <v>#REF!</v>
      </c>
      <c r="C52" s="252" t="e">
        <f>INDEX(#REF!,MATCH(-187872572,#REF!,0),Sy_nop)</f>
        <v>#REF!</v>
      </c>
      <c r="D52" s="253" t="s">
        <v>275</v>
      </c>
      <c r="E52" s="251" t="e">
        <f>INDEX(#REF!,MATCH(-174564184,#REF!,0),Sy_nop)</f>
        <v>#REF!</v>
      </c>
      <c r="F52" s="252" t="e">
        <f>INDEX(#REF!,MATCH(-187872572,#REF!,0),Sy_nop)</f>
        <v>#REF!</v>
      </c>
      <c r="G52" s="253" t="s">
        <v>275</v>
      </c>
      <c r="H52" s="251" t="e">
        <f>INDEX(#REF!,MATCH(-174564184,#REF!,0),Sy_nop)</f>
        <v>#REF!</v>
      </c>
      <c r="I52" s="252" t="e">
        <f>INDEX(#REF!,MATCH(-187872572,#REF!,0),Sy_nop)</f>
        <v>#REF!</v>
      </c>
      <c r="J52" s="253" t="s">
        <v>275</v>
      </c>
      <c r="K52" s="251" t="e">
        <f>INDEX(#REF!,MATCH(-174564184,#REF!,0),Sy_nop)</f>
        <v>#REF!</v>
      </c>
      <c r="L52" s="252" t="e">
        <f>INDEX(#REF!,MATCH(-187872572,#REF!,0),Sy_nop)</f>
        <v>#REF!</v>
      </c>
      <c r="M52" s="253" t="s">
        <v>275</v>
      </c>
      <c r="N52" s="251" t="e">
        <f>INDEX(#REF!,MATCH(-174564184,#REF!,0),Sy_nop)</f>
        <v>#REF!</v>
      </c>
      <c r="O52" s="252" t="e">
        <f>INDEX(#REF!,MATCH(-187872572,#REF!,0),Sy_nop)</f>
        <v>#REF!</v>
      </c>
      <c r="P52" s="253" t="s">
        <v>275</v>
      </c>
      <c r="Q52" s="251" t="e">
        <f>INDEX(#REF!,MATCH(-174564184,#REF!,0),Sy_nop)</f>
        <v>#REF!</v>
      </c>
      <c r="R52" s="252" t="e">
        <f>INDEX(#REF!,MATCH(-187872572,#REF!,0),Sy_nop)</f>
        <v>#REF!</v>
      </c>
      <c r="S52" s="253" t="s">
        <v>275</v>
      </c>
      <c r="T52" s="251" t="e">
        <f>INDEX(#REF!,MATCH(-174564184,#REF!,0),Sy_nop)</f>
        <v>#REF!</v>
      </c>
      <c r="U52" s="252" t="e">
        <f>INDEX(#REF!,MATCH(-187872572,#REF!,0),Sy_nop)</f>
        <v>#REF!</v>
      </c>
      <c r="V52" s="253" t="s">
        <v>275</v>
      </c>
      <c r="W52" s="251" t="e">
        <f>INDEX(#REF!,MATCH(-174564184,#REF!,0),Sy_nop)</f>
        <v>#REF!</v>
      </c>
      <c r="X52" s="252" t="e">
        <f>INDEX(#REF!,MATCH(-187872572,#REF!,0),Sy_nop)</f>
        <v>#REF!</v>
      </c>
      <c r="Y52" s="253" t="s">
        <v>275</v>
      </c>
      <c r="Z52" s="251" t="e">
        <f>INDEX(#REF!,MATCH(-174564184,#REF!,0),Sy_nop)</f>
        <v>#REF!</v>
      </c>
      <c r="AA52" s="252" t="e">
        <f>INDEX(#REF!,MATCH(-187872572,#REF!,0),Sy_nop)</f>
        <v>#REF!</v>
      </c>
      <c r="AB52" s="253" t="s">
        <v>275</v>
      </c>
      <c r="AC52" s="251" t="e">
        <f>INDEX(#REF!,MATCH(-174564184,#REF!,0),Sy_nop)</f>
        <v>#REF!</v>
      </c>
      <c r="AD52" s="252" t="e">
        <f>INDEX(#REF!,MATCH(-187872572,#REF!,0),Sy_nop)</f>
        <v>#REF!</v>
      </c>
      <c r="AE52" s="253" t="s">
        <v>275</v>
      </c>
      <c r="AF52" s="251" t="e">
        <f>INDEX(#REF!,MATCH(-174564184,#REF!,0),Sy_nop)</f>
        <v>#REF!</v>
      </c>
      <c r="AG52" s="252" t="e">
        <f>INDEX(#REF!,MATCH(-187872572,#REF!,0),Sy_nop)</f>
        <v>#REF!</v>
      </c>
      <c r="AH52" s="253" t="s">
        <v>275</v>
      </c>
    </row>
    <row r="53" spans="1:36" ht="15" customHeight="1" thickBot="1">
      <c r="A53" s="87" t="s">
        <v>287</v>
      </c>
      <c r="B53" s="254" t="s">
        <v>276</v>
      </c>
      <c r="C53" s="255" t="s">
        <v>276</v>
      </c>
      <c r="D53" s="256" t="e">
        <f>INDEX(#REF!,MATCH(29883458,#REF!,0),Sy_nop)</f>
        <v>#REF!</v>
      </c>
      <c r="E53" s="254" t="s">
        <v>277</v>
      </c>
      <c r="F53" s="255" t="s">
        <v>277</v>
      </c>
      <c r="G53" s="256" t="e">
        <f>INDEX(#REF!,MATCH(29883458,#REF!,0),Sy_nop)</f>
        <v>#REF!</v>
      </c>
      <c r="H53" s="254" t="e">
        <f>INDEX(#REF!,MATCH(179168049,#REF!,0),Sy_nop)</f>
        <v>#REF!</v>
      </c>
      <c r="I53" s="255" t="e">
        <f>INDEX(#REF!,MATCH(179168049,#REF!,0),Sy_nop)</f>
        <v>#REF!</v>
      </c>
      <c r="J53" s="256" t="e">
        <f>INDEX(#REF!,MATCH(29883458,#REF!,0),Sy_nop)</f>
        <v>#REF!</v>
      </c>
      <c r="K53" s="254" t="s">
        <v>279</v>
      </c>
      <c r="L53" s="255" t="s">
        <v>279</v>
      </c>
      <c r="M53" s="256" t="e">
        <f>INDEX(#REF!,MATCH(29883458,#REF!,0),Sy_nop)</f>
        <v>#REF!</v>
      </c>
      <c r="N53" s="254" t="s">
        <v>280</v>
      </c>
      <c r="O53" s="255" t="s">
        <v>280</v>
      </c>
      <c r="P53" s="256" t="e">
        <f>INDEX(#REF!,MATCH(29883458,#REF!,0),Sy_nop)</f>
        <v>#REF!</v>
      </c>
      <c r="Q53" s="254">
        <v>2014</v>
      </c>
      <c r="R53" s="255">
        <v>2014</v>
      </c>
      <c r="S53" s="256" t="e">
        <f>INDEX(#REF!,MATCH(29883458,#REF!,0),Sy_nop)</f>
        <v>#REF!</v>
      </c>
      <c r="T53" s="254" t="e">
        <f>INDEX(#REF!,MATCH(113048160,#REF!,0),Sy_nop)</f>
        <v>#REF!</v>
      </c>
      <c r="U53" s="255" t="e">
        <f>INDEX(#REF!,MATCH(113048160,#REF!,0),Sy_nop)</f>
        <v>#REF!</v>
      </c>
      <c r="V53" s="256" t="e">
        <f>INDEX(#REF!,MATCH(29883458,#REF!,0),Sy_nop)</f>
        <v>#REF!</v>
      </c>
      <c r="W53" s="254" t="e">
        <f>INDEX(#REF!,MATCH(54739964,#REF!,0),Sy_nop)</f>
        <v>#REF!</v>
      </c>
      <c r="X53" s="255" t="e">
        <f>INDEX(#REF!,MATCH(54739964,#REF!,0),Sy_nop)</f>
        <v>#REF!</v>
      </c>
      <c r="Y53" s="256" t="e">
        <f>INDEX(#REF!,MATCH(29883458,#REF!,0),Sy_nop)</f>
        <v>#REF!</v>
      </c>
      <c r="Z53" s="254" t="s">
        <v>283</v>
      </c>
      <c r="AA53" s="255" t="s">
        <v>283</v>
      </c>
      <c r="AB53" s="256" t="e">
        <f>INDEX(#REF!,MATCH(29883458,#REF!,0),Sy_nop)</f>
        <v>#REF!</v>
      </c>
      <c r="AC53" s="254" t="e">
        <f>INDEX(#REF!,MATCH(3931748,#REF!,0),Sy_nop)</f>
        <v>#REF!</v>
      </c>
      <c r="AD53" s="255" t="e">
        <f>INDEX(#REF!,MATCH(3931748,#REF!,0),Sy_nop)</f>
        <v>#REF!</v>
      </c>
      <c r="AE53" s="256" t="s">
        <v>287</v>
      </c>
      <c r="AF53" s="254" t="s">
        <v>285</v>
      </c>
      <c r="AG53" s="255" t="s">
        <v>285</v>
      </c>
      <c r="AH53" s="256" t="e">
        <f>INDEX(#REF!,MATCH(29883458,#REF!,0),Sy_nop)</f>
        <v>#REF!</v>
      </c>
    </row>
    <row r="54" spans="1:36" ht="15" customHeight="1" thickTop="1">
      <c r="A54" s="92" t="s">
        <v>10</v>
      </c>
      <c r="B54" s="171">
        <v>16818</v>
      </c>
      <c r="C54" s="14">
        <v>16818</v>
      </c>
      <c r="D54" s="14">
        <v>0</v>
      </c>
      <c r="E54" s="171">
        <v>5667</v>
      </c>
      <c r="F54" s="14">
        <v>5667</v>
      </c>
      <c r="G54" s="14">
        <v>0</v>
      </c>
      <c r="H54" s="171">
        <v>11151</v>
      </c>
      <c r="I54" s="14">
        <v>11151</v>
      </c>
      <c r="J54" s="14">
        <v>0</v>
      </c>
      <c r="K54" s="171">
        <v>5460</v>
      </c>
      <c r="L54" s="14">
        <v>5460</v>
      </c>
      <c r="M54" s="14">
        <v>0</v>
      </c>
      <c r="N54" s="171">
        <v>5691</v>
      </c>
      <c r="O54" s="14">
        <v>5691</v>
      </c>
      <c r="P54" s="14">
        <v>0</v>
      </c>
      <c r="Q54" s="171">
        <v>34518</v>
      </c>
      <c r="R54" s="14">
        <v>34518</v>
      </c>
      <c r="S54" s="14">
        <v>0</v>
      </c>
      <c r="T54" s="171">
        <v>7323</v>
      </c>
      <c r="U54" s="14">
        <v>7323</v>
      </c>
      <c r="V54" s="14">
        <v>0</v>
      </c>
      <c r="W54" s="171">
        <v>27195</v>
      </c>
      <c r="X54" s="14">
        <v>27195</v>
      </c>
      <c r="Y54" s="14">
        <v>0</v>
      </c>
      <c r="Z54" s="171">
        <v>8767</v>
      </c>
      <c r="AA54" s="14">
        <v>8767</v>
      </c>
      <c r="AB54" s="14">
        <v>0</v>
      </c>
      <c r="AC54" s="171">
        <v>18427</v>
      </c>
      <c r="AD54" s="14">
        <v>18427</v>
      </c>
      <c r="AE54" s="14">
        <v>0</v>
      </c>
      <c r="AF54" s="171">
        <v>9061</v>
      </c>
      <c r="AG54" s="14">
        <v>9061</v>
      </c>
      <c r="AH54" s="14">
        <v>0</v>
      </c>
      <c r="AJ54" s="163"/>
    </row>
    <row r="55" spans="1:36" ht="15" customHeight="1">
      <c r="A55" s="32" t="s">
        <v>0</v>
      </c>
      <c r="B55" s="171">
        <v>531</v>
      </c>
      <c r="C55" s="14">
        <v>514</v>
      </c>
      <c r="D55" s="14">
        <v>17</v>
      </c>
      <c r="E55" s="171">
        <v>174</v>
      </c>
      <c r="F55" s="14">
        <v>157</v>
      </c>
      <c r="G55" s="14">
        <v>17</v>
      </c>
      <c r="H55" s="171">
        <v>357</v>
      </c>
      <c r="I55" s="14">
        <v>357</v>
      </c>
      <c r="J55" s="14">
        <v>0</v>
      </c>
      <c r="K55" s="171">
        <v>140</v>
      </c>
      <c r="L55" s="14">
        <v>140</v>
      </c>
      <c r="M55" s="14">
        <v>0</v>
      </c>
      <c r="N55" s="171">
        <v>217</v>
      </c>
      <c r="O55" s="14">
        <v>217</v>
      </c>
      <c r="P55" s="14">
        <v>0</v>
      </c>
      <c r="Q55" s="171">
        <v>-538</v>
      </c>
      <c r="R55" s="14">
        <v>-453</v>
      </c>
      <c r="S55" s="14">
        <v>-86</v>
      </c>
      <c r="T55" s="171">
        <v>-894</v>
      </c>
      <c r="U55" s="14">
        <v>-786</v>
      </c>
      <c r="V55" s="14">
        <v>-108</v>
      </c>
      <c r="W55" s="171">
        <v>356</v>
      </c>
      <c r="X55" s="14">
        <v>333</v>
      </c>
      <c r="Y55" s="14">
        <v>23</v>
      </c>
      <c r="Z55" s="171">
        <v>156</v>
      </c>
      <c r="AA55" s="14">
        <v>156</v>
      </c>
      <c r="AB55" s="14">
        <v>0</v>
      </c>
      <c r="AC55" s="171">
        <v>200</v>
      </c>
      <c r="AD55" s="14">
        <v>177</v>
      </c>
      <c r="AE55" s="14">
        <v>23</v>
      </c>
      <c r="AF55" s="171">
        <v>105</v>
      </c>
      <c r="AG55" s="14">
        <v>82</v>
      </c>
      <c r="AH55" s="14">
        <v>23</v>
      </c>
      <c r="AJ55" s="163"/>
    </row>
    <row r="56" spans="1:36" ht="15" customHeight="1">
      <c r="A56" s="32" t="s">
        <v>11</v>
      </c>
      <c r="B56" s="171">
        <v>-216</v>
      </c>
      <c r="C56" s="14">
        <v>-233</v>
      </c>
      <c r="D56" s="14">
        <v>17</v>
      </c>
      <c r="E56" s="171">
        <v>-38</v>
      </c>
      <c r="F56" s="14">
        <v>-55</v>
      </c>
      <c r="G56" s="14">
        <v>17</v>
      </c>
      <c r="H56" s="171">
        <v>-178</v>
      </c>
      <c r="I56" s="14">
        <v>-178</v>
      </c>
      <c r="J56" s="14">
        <v>0</v>
      </c>
      <c r="K56" s="171">
        <v>-186</v>
      </c>
      <c r="L56" s="14">
        <v>-186</v>
      </c>
      <c r="M56" s="14">
        <v>0</v>
      </c>
      <c r="N56" s="171">
        <v>9</v>
      </c>
      <c r="O56" s="14">
        <v>9</v>
      </c>
      <c r="P56" s="14">
        <v>0</v>
      </c>
      <c r="Q56" s="171">
        <v>-691</v>
      </c>
      <c r="R56" s="14">
        <v>-605</v>
      </c>
      <c r="S56" s="14">
        <v>-86</v>
      </c>
      <c r="T56" s="171">
        <v>-735</v>
      </c>
      <c r="U56" s="14">
        <v>-627</v>
      </c>
      <c r="V56" s="14">
        <v>-108</v>
      </c>
      <c r="W56" s="171">
        <v>44</v>
      </c>
      <c r="X56" s="14">
        <v>22</v>
      </c>
      <c r="Y56" s="14">
        <v>23</v>
      </c>
      <c r="Z56" s="171">
        <v>-1</v>
      </c>
      <c r="AA56" s="14">
        <v>-1</v>
      </c>
      <c r="AB56" s="14">
        <v>0</v>
      </c>
      <c r="AC56" s="171">
        <v>46</v>
      </c>
      <c r="AD56" s="14">
        <v>23</v>
      </c>
      <c r="AE56" s="14">
        <v>23</v>
      </c>
      <c r="AF56" s="171">
        <v>17</v>
      </c>
      <c r="AG56" s="14">
        <v>-6</v>
      </c>
      <c r="AH56" s="14">
        <v>23</v>
      </c>
      <c r="AJ56" s="163"/>
    </row>
    <row r="57" spans="1:36" ht="15" customHeight="1">
      <c r="A57" s="32" t="s">
        <v>293</v>
      </c>
      <c r="B57" s="171">
        <v>-184</v>
      </c>
      <c r="C57" s="14">
        <v>-184</v>
      </c>
      <c r="D57" s="14">
        <v>0</v>
      </c>
      <c r="E57" s="171">
        <v>-190</v>
      </c>
      <c r="F57" s="14">
        <v>-190</v>
      </c>
      <c r="G57" s="14">
        <v>0</v>
      </c>
      <c r="H57" s="171">
        <v>5</v>
      </c>
      <c r="I57" s="14">
        <v>5</v>
      </c>
      <c r="J57" s="14">
        <v>0</v>
      </c>
      <c r="K57" s="171">
        <v>57</v>
      </c>
      <c r="L57" s="14">
        <v>57</v>
      </c>
      <c r="M57" s="14">
        <v>0</v>
      </c>
      <c r="N57" s="171">
        <v>-51</v>
      </c>
      <c r="O57" s="14">
        <v>-51</v>
      </c>
      <c r="P57" s="14">
        <v>0</v>
      </c>
      <c r="Q57" s="171">
        <v>-452</v>
      </c>
      <c r="R57" s="14">
        <v>-452</v>
      </c>
      <c r="S57" s="14">
        <v>0</v>
      </c>
      <c r="T57" s="171">
        <v>-387</v>
      </c>
      <c r="U57" s="14">
        <v>-387</v>
      </c>
      <c r="V57" s="14">
        <v>0</v>
      </c>
      <c r="W57" s="171">
        <v>-65</v>
      </c>
      <c r="X57" s="14">
        <v>-65</v>
      </c>
      <c r="Y57" s="14">
        <v>0</v>
      </c>
      <c r="Z57" s="171">
        <v>-62</v>
      </c>
      <c r="AA57" s="14">
        <v>-62</v>
      </c>
      <c r="AB57" s="14">
        <v>0</v>
      </c>
      <c r="AC57" s="171">
        <v>-2</v>
      </c>
      <c r="AD57" s="14">
        <v>-2</v>
      </c>
      <c r="AE57" s="14">
        <v>0</v>
      </c>
      <c r="AF57" s="171">
        <v>16</v>
      </c>
      <c r="AG57" s="14">
        <v>16</v>
      </c>
      <c r="AH57" s="14">
        <v>0</v>
      </c>
      <c r="AJ57" s="163"/>
    </row>
    <row r="58" spans="1:36" ht="15" customHeight="1">
      <c r="A58" s="58" t="s">
        <v>292</v>
      </c>
      <c r="B58" s="171">
        <v>931</v>
      </c>
      <c r="C58" s="14">
        <v>931</v>
      </c>
      <c r="D58" s="14">
        <v>0</v>
      </c>
      <c r="E58" s="171">
        <v>402</v>
      </c>
      <c r="F58" s="14">
        <v>402</v>
      </c>
      <c r="G58" s="14">
        <v>0</v>
      </c>
      <c r="H58" s="171">
        <v>529</v>
      </c>
      <c r="I58" s="14">
        <v>529</v>
      </c>
      <c r="J58" s="14">
        <v>0</v>
      </c>
      <c r="K58" s="171">
        <v>269</v>
      </c>
      <c r="L58" s="14">
        <v>269</v>
      </c>
      <c r="M58" s="14">
        <v>0</v>
      </c>
      <c r="N58" s="171">
        <v>260</v>
      </c>
      <c r="O58" s="14">
        <v>260</v>
      </c>
      <c r="P58" s="14">
        <v>0</v>
      </c>
      <c r="Q58" s="171">
        <v>604</v>
      </c>
      <c r="R58" s="14">
        <v>604</v>
      </c>
      <c r="S58" s="14">
        <v>0</v>
      </c>
      <c r="T58" s="171">
        <v>228</v>
      </c>
      <c r="U58" s="14">
        <v>228</v>
      </c>
      <c r="V58" s="14">
        <v>0</v>
      </c>
      <c r="W58" s="171">
        <v>376</v>
      </c>
      <c r="X58" s="14">
        <v>376</v>
      </c>
      <c r="Y58" s="14">
        <v>0</v>
      </c>
      <c r="Z58" s="171">
        <v>220</v>
      </c>
      <c r="AA58" s="14">
        <v>220</v>
      </c>
      <c r="AB58" s="14">
        <v>0</v>
      </c>
      <c r="AC58" s="171">
        <v>156</v>
      </c>
      <c r="AD58" s="14">
        <v>156</v>
      </c>
      <c r="AE58" s="14">
        <v>0</v>
      </c>
      <c r="AF58" s="171">
        <v>71</v>
      </c>
      <c r="AG58" s="14">
        <v>71</v>
      </c>
      <c r="AH58" s="14">
        <v>0</v>
      </c>
      <c r="AJ58" s="163"/>
    </row>
    <row r="59" spans="1:36" ht="15" customHeight="1">
      <c r="A59" s="62" t="s">
        <v>190</v>
      </c>
      <c r="B59" s="171">
        <v>921</v>
      </c>
      <c r="C59" s="14">
        <v>921</v>
      </c>
      <c r="D59" s="14">
        <v>0</v>
      </c>
      <c r="E59" s="171">
        <v>430</v>
      </c>
      <c r="F59" s="14">
        <v>430</v>
      </c>
      <c r="G59" s="14">
        <v>0</v>
      </c>
      <c r="H59" s="171">
        <v>491</v>
      </c>
      <c r="I59" s="14">
        <v>491</v>
      </c>
      <c r="J59" s="14">
        <v>0</v>
      </c>
      <c r="K59" s="171">
        <v>286</v>
      </c>
      <c r="L59" s="14">
        <v>286</v>
      </c>
      <c r="M59" s="14">
        <v>0</v>
      </c>
      <c r="N59" s="171">
        <v>205</v>
      </c>
      <c r="O59" s="14">
        <v>205</v>
      </c>
      <c r="P59" s="14">
        <v>0</v>
      </c>
      <c r="Q59" s="171">
        <v>503</v>
      </c>
      <c r="R59" s="14">
        <v>503</v>
      </c>
      <c r="S59" s="14">
        <v>0</v>
      </c>
      <c r="T59" s="171">
        <v>187</v>
      </c>
      <c r="U59" s="14">
        <v>187</v>
      </c>
      <c r="V59" s="14">
        <v>0</v>
      </c>
      <c r="W59" s="171">
        <v>316</v>
      </c>
      <c r="X59" s="14">
        <v>316</v>
      </c>
      <c r="Y59" s="14">
        <v>0</v>
      </c>
      <c r="Z59" s="171">
        <v>206</v>
      </c>
      <c r="AA59" s="14">
        <v>206</v>
      </c>
      <c r="AB59" s="14">
        <v>0</v>
      </c>
      <c r="AC59" s="171">
        <v>111</v>
      </c>
      <c r="AD59" s="14">
        <v>111</v>
      </c>
      <c r="AE59" s="14">
        <v>0</v>
      </c>
      <c r="AF59" s="171">
        <v>62</v>
      </c>
      <c r="AG59" s="14">
        <v>62</v>
      </c>
      <c r="AH59" s="14">
        <v>0</v>
      </c>
      <c r="AJ59" s="163"/>
    </row>
    <row r="60" spans="1:36" ht="15" customHeight="1">
      <c r="A60" s="62" t="s">
        <v>191</v>
      </c>
      <c r="B60" s="171">
        <v>10</v>
      </c>
      <c r="C60" s="14">
        <v>10</v>
      </c>
      <c r="D60" s="14">
        <v>0</v>
      </c>
      <c r="E60" s="171">
        <v>-28</v>
      </c>
      <c r="F60" s="14">
        <v>-28</v>
      </c>
      <c r="G60" s="14">
        <v>0</v>
      </c>
      <c r="H60" s="171">
        <v>38</v>
      </c>
      <c r="I60" s="14">
        <v>38</v>
      </c>
      <c r="J60" s="14">
        <v>0</v>
      </c>
      <c r="K60" s="171">
        <v>-17</v>
      </c>
      <c r="L60" s="14">
        <v>-17</v>
      </c>
      <c r="M60" s="14">
        <v>0</v>
      </c>
      <c r="N60" s="171">
        <v>55</v>
      </c>
      <c r="O60" s="14">
        <v>55</v>
      </c>
      <c r="P60" s="14">
        <v>0</v>
      </c>
      <c r="Q60" s="171">
        <v>101</v>
      </c>
      <c r="R60" s="14">
        <v>101</v>
      </c>
      <c r="S60" s="14">
        <v>0</v>
      </c>
      <c r="T60" s="171">
        <v>41</v>
      </c>
      <c r="U60" s="14">
        <v>41</v>
      </c>
      <c r="V60" s="14">
        <v>0</v>
      </c>
      <c r="W60" s="171">
        <v>60</v>
      </c>
      <c r="X60" s="14">
        <v>60</v>
      </c>
      <c r="Y60" s="14">
        <v>0</v>
      </c>
      <c r="Z60" s="171">
        <v>14</v>
      </c>
      <c r="AA60" s="14">
        <v>14</v>
      </c>
      <c r="AB60" s="14">
        <v>0</v>
      </c>
      <c r="AC60" s="171">
        <v>46</v>
      </c>
      <c r="AD60" s="14">
        <v>46</v>
      </c>
      <c r="AE60" s="14">
        <v>0</v>
      </c>
      <c r="AF60" s="171">
        <v>10</v>
      </c>
      <c r="AG60" s="14">
        <v>10</v>
      </c>
      <c r="AH60" s="14">
        <v>0</v>
      </c>
      <c r="AJ60" s="163"/>
    </row>
    <row r="61" spans="1:36" ht="15" customHeight="1">
      <c r="A61" s="32" t="s">
        <v>135</v>
      </c>
      <c r="B61" s="171">
        <v>1268</v>
      </c>
      <c r="C61" s="14">
        <v>1268</v>
      </c>
      <c r="D61" s="14">
        <v>0</v>
      </c>
      <c r="E61" s="171">
        <v>381</v>
      </c>
      <c r="F61" s="14">
        <v>381</v>
      </c>
      <c r="G61" s="14">
        <v>0</v>
      </c>
      <c r="H61" s="171">
        <v>887</v>
      </c>
      <c r="I61" s="14">
        <v>887</v>
      </c>
      <c r="J61" s="14">
        <v>0</v>
      </c>
      <c r="K61" s="171">
        <v>509</v>
      </c>
      <c r="L61" s="14">
        <v>509</v>
      </c>
      <c r="M61" s="14">
        <v>0</v>
      </c>
      <c r="N61" s="171">
        <v>378</v>
      </c>
      <c r="O61" s="14">
        <v>378</v>
      </c>
      <c r="P61" s="14">
        <v>0</v>
      </c>
      <c r="Q61" s="171">
        <v>759</v>
      </c>
      <c r="R61" s="14">
        <v>735</v>
      </c>
      <c r="S61" s="14">
        <v>24</v>
      </c>
      <c r="T61" s="171">
        <v>-74</v>
      </c>
      <c r="U61" s="14">
        <v>-75</v>
      </c>
      <c r="V61" s="14">
        <v>0</v>
      </c>
      <c r="W61" s="171">
        <v>833</v>
      </c>
      <c r="X61" s="14">
        <v>810</v>
      </c>
      <c r="Y61" s="14">
        <v>23</v>
      </c>
      <c r="Z61" s="171">
        <v>313</v>
      </c>
      <c r="AA61" s="14">
        <v>313</v>
      </c>
      <c r="AB61" s="14">
        <v>0</v>
      </c>
      <c r="AC61" s="171">
        <v>520</v>
      </c>
      <c r="AD61" s="14">
        <v>497</v>
      </c>
      <c r="AE61" s="14">
        <v>23</v>
      </c>
      <c r="AF61" s="171">
        <v>272</v>
      </c>
      <c r="AG61" s="14">
        <v>250</v>
      </c>
      <c r="AH61" s="14">
        <v>23</v>
      </c>
      <c r="AJ61" s="163"/>
    </row>
    <row r="62" spans="1:36" ht="15" customHeight="1">
      <c r="A62" s="93" t="s">
        <v>294</v>
      </c>
      <c r="B62" s="171">
        <v>1412</v>
      </c>
      <c r="C62" s="14">
        <v>1412</v>
      </c>
      <c r="D62" s="14">
        <v>0</v>
      </c>
      <c r="E62" s="171">
        <v>559</v>
      </c>
      <c r="F62" s="14">
        <v>559</v>
      </c>
      <c r="G62" s="14">
        <v>0</v>
      </c>
      <c r="H62" s="171">
        <v>854</v>
      </c>
      <c r="I62" s="14">
        <v>854</v>
      </c>
      <c r="J62" s="14">
        <v>0</v>
      </c>
      <c r="K62" s="171">
        <v>434</v>
      </c>
      <c r="L62" s="14">
        <v>434</v>
      </c>
      <c r="M62" s="14">
        <v>0</v>
      </c>
      <c r="N62" s="171">
        <v>420</v>
      </c>
      <c r="O62" s="14">
        <v>420</v>
      </c>
      <c r="P62" s="14">
        <v>0</v>
      </c>
      <c r="Q62" s="171">
        <v>1240</v>
      </c>
      <c r="R62" s="14">
        <v>1240</v>
      </c>
      <c r="S62" s="14">
        <v>0</v>
      </c>
      <c r="T62" s="171">
        <v>387</v>
      </c>
      <c r="U62" s="14">
        <v>387</v>
      </c>
      <c r="V62" s="14">
        <v>0</v>
      </c>
      <c r="W62" s="171">
        <v>853</v>
      </c>
      <c r="X62" s="14">
        <v>853</v>
      </c>
      <c r="Y62" s="14">
        <v>0</v>
      </c>
      <c r="Z62" s="171">
        <v>377</v>
      </c>
      <c r="AA62" s="14">
        <v>377</v>
      </c>
      <c r="AB62" s="14">
        <v>0</v>
      </c>
      <c r="AC62" s="171">
        <v>476</v>
      </c>
      <c r="AD62" s="14">
        <v>476</v>
      </c>
      <c r="AE62" s="14">
        <v>0</v>
      </c>
      <c r="AF62" s="171">
        <v>239</v>
      </c>
      <c r="AG62" s="14">
        <v>239</v>
      </c>
      <c r="AH62" s="14">
        <v>0</v>
      </c>
      <c r="AJ62" s="163"/>
    </row>
    <row r="63" spans="1:36" ht="15" customHeight="1" thickBot="1">
      <c r="A63" s="41" t="s">
        <v>140</v>
      </c>
      <c r="B63" s="166">
        <v>282</v>
      </c>
      <c r="C63" s="72">
        <v>282</v>
      </c>
      <c r="D63" s="72">
        <v>0</v>
      </c>
      <c r="E63" s="166">
        <v>98</v>
      </c>
      <c r="F63" s="72">
        <v>98</v>
      </c>
      <c r="G63" s="72">
        <v>0</v>
      </c>
      <c r="H63" s="166">
        <v>184</v>
      </c>
      <c r="I63" s="72">
        <v>184</v>
      </c>
      <c r="J63" s="72">
        <v>0</v>
      </c>
      <c r="K63" s="166">
        <v>93</v>
      </c>
      <c r="L63" s="72">
        <v>93</v>
      </c>
      <c r="M63" s="72">
        <v>0</v>
      </c>
      <c r="N63" s="166">
        <v>91</v>
      </c>
      <c r="O63" s="72">
        <v>91</v>
      </c>
      <c r="P63" s="72">
        <v>0</v>
      </c>
      <c r="Q63" s="166">
        <v>850</v>
      </c>
      <c r="R63" s="72">
        <v>850</v>
      </c>
      <c r="S63" s="72">
        <v>0</v>
      </c>
      <c r="T63" s="166">
        <v>268</v>
      </c>
      <c r="U63" s="72">
        <v>268</v>
      </c>
      <c r="V63" s="72">
        <v>0</v>
      </c>
      <c r="W63" s="166">
        <v>582</v>
      </c>
      <c r="X63" s="72">
        <v>582</v>
      </c>
      <c r="Y63" s="72">
        <v>0</v>
      </c>
      <c r="Z63" s="166">
        <v>131</v>
      </c>
      <c r="AA63" s="72">
        <v>131</v>
      </c>
      <c r="AB63" s="72">
        <v>0</v>
      </c>
      <c r="AC63" s="166">
        <v>452</v>
      </c>
      <c r="AD63" s="72">
        <v>452</v>
      </c>
      <c r="AE63" s="72">
        <v>0</v>
      </c>
      <c r="AF63" s="166">
        <v>334</v>
      </c>
      <c r="AG63" s="72">
        <v>334</v>
      </c>
      <c r="AH63" s="72">
        <v>0</v>
      </c>
      <c r="AJ63" s="163"/>
    </row>
    <row r="64" spans="1:36" ht="15" customHeight="1" thickTop="1">
      <c r="A64" s="104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J64" s="163"/>
    </row>
    <row r="65" spans="1:36" ht="15" customHeight="1">
      <c r="A65" s="202" t="s">
        <v>295</v>
      </c>
      <c r="AJ65" s="163"/>
    </row>
    <row r="66" spans="1:36" ht="15" customHeight="1">
      <c r="A66" s="104"/>
      <c r="AJ66" s="163"/>
    </row>
    <row r="67" spans="1:36" ht="15" customHeight="1">
      <c r="A67" s="201" t="s">
        <v>193</v>
      </c>
      <c r="B67" s="201"/>
      <c r="C67" s="201"/>
      <c r="D67" s="201"/>
      <c r="E67" s="201"/>
      <c r="F67" s="201"/>
      <c r="G67" s="201"/>
      <c r="H67" s="201"/>
      <c r="I67" s="201"/>
      <c r="J67" s="201"/>
      <c r="K67" s="201"/>
      <c r="L67" s="201"/>
      <c r="M67" s="201"/>
      <c r="N67" s="201"/>
      <c r="O67" s="201"/>
      <c r="P67" s="201"/>
      <c r="Q67" s="201"/>
      <c r="R67" s="201"/>
      <c r="S67" s="201"/>
      <c r="T67" s="201"/>
      <c r="U67" s="201"/>
      <c r="V67" s="201"/>
      <c r="W67" s="201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J67" s="163"/>
    </row>
    <row r="68" spans="1:36" ht="30" customHeight="1">
      <c r="B68" s="251" t="e">
        <f>INDEX(#REF!,MATCH(-174564184,#REF!,0),Sy_nop)</f>
        <v>#REF!</v>
      </c>
      <c r="C68" s="252" t="e">
        <f>INDEX(#REF!,MATCH(-187872572,#REF!,0),Sy_nop)</f>
        <v>#REF!</v>
      </c>
      <c r="D68" s="253" t="s">
        <v>275</v>
      </c>
      <c r="E68" s="251" t="e">
        <f>INDEX(#REF!,MATCH(-174564184,#REF!,0),Sy_nop)</f>
        <v>#REF!</v>
      </c>
      <c r="F68" s="252" t="e">
        <f>INDEX(#REF!,MATCH(-187872572,#REF!,0),Sy_nop)</f>
        <v>#REF!</v>
      </c>
      <c r="G68" s="253" t="s">
        <v>275</v>
      </c>
      <c r="H68" s="251" t="e">
        <f>INDEX(#REF!,MATCH(-174564184,#REF!,0),Sy_nop)</f>
        <v>#REF!</v>
      </c>
      <c r="I68" s="252" t="e">
        <f>INDEX(#REF!,MATCH(-187872572,#REF!,0),Sy_nop)</f>
        <v>#REF!</v>
      </c>
      <c r="J68" s="253" t="s">
        <v>275</v>
      </c>
      <c r="K68" s="251" t="e">
        <f>INDEX(#REF!,MATCH(-174564184,#REF!,0),Sy_nop)</f>
        <v>#REF!</v>
      </c>
      <c r="L68" s="252" t="e">
        <f>INDEX(#REF!,MATCH(-187872572,#REF!,0),Sy_nop)</f>
        <v>#REF!</v>
      </c>
      <c r="M68" s="253" t="s">
        <v>275</v>
      </c>
      <c r="N68" s="251" t="e">
        <f>INDEX(#REF!,MATCH(-174564184,#REF!,0),Sy_nop)</f>
        <v>#REF!</v>
      </c>
      <c r="O68" s="252" t="e">
        <f>INDEX(#REF!,MATCH(-187872572,#REF!,0),Sy_nop)</f>
        <v>#REF!</v>
      </c>
      <c r="P68" s="253" t="s">
        <v>275</v>
      </c>
      <c r="Q68" s="251" t="e">
        <f>INDEX(#REF!,MATCH(-174564184,#REF!,0),Sy_nop)</f>
        <v>#REF!</v>
      </c>
      <c r="R68" s="252" t="e">
        <f>INDEX(#REF!,MATCH(-187872572,#REF!,0),Sy_nop)</f>
        <v>#REF!</v>
      </c>
      <c r="S68" s="253" t="s">
        <v>275</v>
      </c>
      <c r="T68" s="251" t="e">
        <f>INDEX(#REF!,MATCH(-174564184,#REF!,0),Sy_nop)</f>
        <v>#REF!</v>
      </c>
      <c r="U68" s="252" t="e">
        <f>INDEX(#REF!,MATCH(-187872572,#REF!,0),Sy_nop)</f>
        <v>#REF!</v>
      </c>
      <c r="V68" s="253" t="s">
        <v>275</v>
      </c>
      <c r="W68" s="251" t="e">
        <f>INDEX(#REF!,MATCH(-174564184,#REF!,0),Sy_nop)</f>
        <v>#REF!</v>
      </c>
      <c r="X68" s="252" t="e">
        <f>INDEX(#REF!,MATCH(-187872572,#REF!,0),Sy_nop)</f>
        <v>#REF!</v>
      </c>
      <c r="Y68" s="253" t="s">
        <v>275</v>
      </c>
      <c r="Z68" s="251" t="e">
        <f>INDEX(#REF!,MATCH(-174564184,#REF!,0),Sy_nop)</f>
        <v>#REF!</v>
      </c>
      <c r="AA68" s="252" t="e">
        <f>INDEX(#REF!,MATCH(-187872572,#REF!,0),Sy_nop)</f>
        <v>#REF!</v>
      </c>
      <c r="AB68" s="253" t="s">
        <v>275</v>
      </c>
      <c r="AC68" s="251" t="e">
        <f>INDEX(#REF!,MATCH(-174564184,#REF!,0),Sy_nop)</f>
        <v>#REF!</v>
      </c>
      <c r="AD68" s="252" t="e">
        <f>INDEX(#REF!,MATCH(-187872572,#REF!,0),Sy_nop)</f>
        <v>#REF!</v>
      </c>
      <c r="AE68" s="253" t="s">
        <v>275</v>
      </c>
      <c r="AF68" s="251" t="e">
        <f>INDEX(#REF!,MATCH(-174564184,#REF!,0),Sy_nop)</f>
        <v>#REF!</v>
      </c>
      <c r="AG68" s="252" t="e">
        <f>INDEX(#REF!,MATCH(-187872572,#REF!,0),Sy_nop)</f>
        <v>#REF!</v>
      </c>
      <c r="AH68" s="253" t="s">
        <v>275</v>
      </c>
    </row>
    <row r="69" spans="1:36" ht="15" customHeight="1" thickBot="1">
      <c r="A69" s="87" t="s">
        <v>287</v>
      </c>
      <c r="B69" s="254" t="s">
        <v>276</v>
      </c>
      <c r="C69" s="255" t="s">
        <v>276</v>
      </c>
      <c r="D69" s="256" t="e">
        <f>INDEX(#REF!,MATCH(29883458,#REF!,0),Sy_nop)</f>
        <v>#REF!</v>
      </c>
      <c r="E69" s="254" t="s">
        <v>277</v>
      </c>
      <c r="F69" s="255" t="s">
        <v>277</v>
      </c>
      <c r="G69" s="256" t="e">
        <f>INDEX(#REF!,MATCH(29883458,#REF!,0),Sy_nop)</f>
        <v>#REF!</v>
      </c>
      <c r="H69" s="254" t="e">
        <f>INDEX(#REF!,MATCH(179168049,#REF!,0),Sy_nop)</f>
        <v>#REF!</v>
      </c>
      <c r="I69" s="255" t="e">
        <f>INDEX(#REF!,MATCH(179168049,#REF!,0),Sy_nop)</f>
        <v>#REF!</v>
      </c>
      <c r="J69" s="256" t="e">
        <f>INDEX(#REF!,MATCH(29883458,#REF!,0),Sy_nop)</f>
        <v>#REF!</v>
      </c>
      <c r="K69" s="254" t="s">
        <v>279</v>
      </c>
      <c r="L69" s="255" t="s">
        <v>279</v>
      </c>
      <c r="M69" s="256" t="e">
        <f>INDEX(#REF!,MATCH(29883458,#REF!,0),Sy_nop)</f>
        <v>#REF!</v>
      </c>
      <c r="N69" s="254" t="s">
        <v>280</v>
      </c>
      <c r="O69" s="255" t="s">
        <v>280</v>
      </c>
      <c r="P69" s="256" t="e">
        <f>INDEX(#REF!,MATCH(29883458,#REF!,0),Sy_nop)</f>
        <v>#REF!</v>
      </c>
      <c r="Q69" s="254">
        <v>2014</v>
      </c>
      <c r="R69" s="255">
        <v>2014</v>
      </c>
      <c r="S69" s="256" t="e">
        <f>INDEX(#REF!,MATCH(29883458,#REF!,0),Sy_nop)</f>
        <v>#REF!</v>
      </c>
      <c r="T69" s="254" t="e">
        <f>INDEX(#REF!,MATCH(113048160,#REF!,0),Sy_nop)</f>
        <v>#REF!</v>
      </c>
      <c r="U69" s="255" t="e">
        <f>INDEX(#REF!,MATCH(113048160,#REF!,0),Sy_nop)</f>
        <v>#REF!</v>
      </c>
      <c r="V69" s="256" t="e">
        <f>INDEX(#REF!,MATCH(29883458,#REF!,0),Sy_nop)</f>
        <v>#REF!</v>
      </c>
      <c r="W69" s="254" t="e">
        <f>INDEX(#REF!,MATCH(54739964,#REF!,0),Sy_nop)</f>
        <v>#REF!</v>
      </c>
      <c r="X69" s="255" t="e">
        <f>INDEX(#REF!,MATCH(54739964,#REF!,0),Sy_nop)</f>
        <v>#REF!</v>
      </c>
      <c r="Y69" s="256" t="e">
        <f>INDEX(#REF!,MATCH(29883458,#REF!,0),Sy_nop)</f>
        <v>#REF!</v>
      </c>
      <c r="Z69" s="254" t="s">
        <v>283</v>
      </c>
      <c r="AA69" s="255" t="s">
        <v>283</v>
      </c>
      <c r="AB69" s="256" t="e">
        <f>INDEX(#REF!,MATCH(29883458,#REF!,0),Sy_nop)</f>
        <v>#REF!</v>
      </c>
      <c r="AC69" s="254" t="e">
        <f>INDEX(#REF!,MATCH(3931748,#REF!,0),Sy_nop)</f>
        <v>#REF!</v>
      </c>
      <c r="AD69" s="255" t="e">
        <f>INDEX(#REF!,MATCH(3931748,#REF!,0),Sy_nop)</f>
        <v>#REF!</v>
      </c>
      <c r="AE69" s="256" t="s">
        <v>287</v>
      </c>
      <c r="AF69" s="254" t="s">
        <v>285</v>
      </c>
      <c r="AG69" s="255" t="s">
        <v>285</v>
      </c>
      <c r="AH69" s="256" t="e">
        <f>INDEX(#REF!,MATCH(29883458,#REF!,0),Sy_nop)</f>
        <v>#REF!</v>
      </c>
    </row>
    <row r="70" spans="1:36" ht="15" customHeight="1" thickTop="1">
      <c r="A70" s="92" t="s">
        <v>189</v>
      </c>
      <c r="B70" s="171">
        <v>13525</v>
      </c>
      <c r="C70" s="14">
        <v>13525</v>
      </c>
      <c r="D70" s="14">
        <v>0</v>
      </c>
      <c r="E70" s="171">
        <v>4681</v>
      </c>
      <c r="F70" s="14">
        <v>4681</v>
      </c>
      <c r="G70" s="14">
        <v>0</v>
      </c>
      <c r="H70" s="171">
        <v>8845</v>
      </c>
      <c r="I70" s="14">
        <v>8845</v>
      </c>
      <c r="J70" s="14">
        <v>0</v>
      </c>
      <c r="K70" s="171">
        <v>4783</v>
      </c>
      <c r="L70" s="14">
        <v>4783</v>
      </c>
      <c r="M70" s="14">
        <v>0</v>
      </c>
      <c r="N70" s="171">
        <v>4061</v>
      </c>
      <c r="O70" s="14">
        <v>4061</v>
      </c>
      <c r="P70" s="14">
        <v>0</v>
      </c>
      <c r="Q70" s="171">
        <v>27830</v>
      </c>
      <c r="R70" s="14">
        <v>27830</v>
      </c>
      <c r="S70" s="14">
        <v>0</v>
      </c>
      <c r="T70" s="171">
        <v>6090</v>
      </c>
      <c r="U70" s="14">
        <v>6090</v>
      </c>
      <c r="V70" s="14">
        <v>0</v>
      </c>
      <c r="W70" s="171">
        <v>21739</v>
      </c>
      <c r="X70" s="14">
        <v>21739</v>
      </c>
      <c r="Y70" s="14">
        <v>0</v>
      </c>
      <c r="Z70" s="171">
        <v>7458</v>
      </c>
      <c r="AA70" s="14">
        <v>7458</v>
      </c>
      <c r="AB70" s="14">
        <v>0</v>
      </c>
      <c r="AC70" s="171">
        <v>14281</v>
      </c>
      <c r="AD70" s="14">
        <v>14281</v>
      </c>
      <c r="AE70" s="14">
        <v>0</v>
      </c>
      <c r="AF70" s="171">
        <v>7626</v>
      </c>
      <c r="AG70" s="14">
        <v>7626</v>
      </c>
      <c r="AH70" s="14">
        <v>0</v>
      </c>
      <c r="AJ70" s="163"/>
    </row>
    <row r="71" spans="1:36" ht="15" customHeight="1">
      <c r="A71" s="32" t="s">
        <v>0</v>
      </c>
      <c r="B71" s="171">
        <v>752</v>
      </c>
      <c r="C71" s="14">
        <v>753</v>
      </c>
      <c r="D71" s="14">
        <v>-1</v>
      </c>
      <c r="E71" s="171">
        <v>238</v>
      </c>
      <c r="F71" s="14">
        <v>239</v>
      </c>
      <c r="G71" s="14">
        <v>0</v>
      </c>
      <c r="H71" s="171">
        <v>513</v>
      </c>
      <c r="I71" s="14">
        <v>514</v>
      </c>
      <c r="J71" s="14">
        <v>-1</v>
      </c>
      <c r="K71" s="171">
        <v>360</v>
      </c>
      <c r="L71" s="14">
        <v>360</v>
      </c>
      <c r="M71" s="14">
        <v>0</v>
      </c>
      <c r="N71" s="171">
        <v>153</v>
      </c>
      <c r="O71" s="14">
        <v>154</v>
      </c>
      <c r="P71" s="14">
        <v>0</v>
      </c>
      <c r="Q71" s="171">
        <v>-338</v>
      </c>
      <c r="R71" s="14">
        <v>-290</v>
      </c>
      <c r="S71" s="14">
        <v>-48</v>
      </c>
      <c r="T71" s="171">
        <v>-599</v>
      </c>
      <c r="U71" s="14">
        <v>-528</v>
      </c>
      <c r="V71" s="14">
        <v>-71</v>
      </c>
      <c r="W71" s="171">
        <v>260</v>
      </c>
      <c r="X71" s="14">
        <v>238</v>
      </c>
      <c r="Y71" s="14">
        <v>23</v>
      </c>
      <c r="Z71" s="171">
        <v>139</v>
      </c>
      <c r="AA71" s="14">
        <v>139</v>
      </c>
      <c r="AB71" s="14">
        <v>0</v>
      </c>
      <c r="AC71" s="171">
        <v>122</v>
      </c>
      <c r="AD71" s="14">
        <v>99</v>
      </c>
      <c r="AE71" s="14">
        <v>23</v>
      </c>
      <c r="AF71" s="171">
        <v>83</v>
      </c>
      <c r="AG71" s="14">
        <v>60</v>
      </c>
      <c r="AH71" s="14">
        <v>23</v>
      </c>
      <c r="AJ71" s="163"/>
    </row>
    <row r="72" spans="1:36" ht="15" customHeight="1">
      <c r="A72" s="32" t="s">
        <v>11</v>
      </c>
      <c r="B72" s="171">
        <v>15</v>
      </c>
      <c r="C72" s="14">
        <v>16</v>
      </c>
      <c r="D72" s="14">
        <v>-1</v>
      </c>
      <c r="E72" s="171">
        <v>-2</v>
      </c>
      <c r="F72" s="14">
        <v>-2</v>
      </c>
      <c r="G72" s="14">
        <v>0</v>
      </c>
      <c r="H72" s="171">
        <v>17</v>
      </c>
      <c r="I72" s="14">
        <v>18</v>
      </c>
      <c r="J72" s="14">
        <v>-1</v>
      </c>
      <c r="K72" s="171">
        <v>18</v>
      </c>
      <c r="L72" s="14">
        <v>18</v>
      </c>
      <c r="M72" s="14">
        <v>0</v>
      </c>
      <c r="N72" s="171">
        <v>0</v>
      </c>
      <c r="O72" s="14">
        <v>0</v>
      </c>
      <c r="P72" s="14">
        <v>0</v>
      </c>
      <c r="Q72" s="171">
        <v>-390</v>
      </c>
      <c r="R72" s="14">
        <v>-342</v>
      </c>
      <c r="S72" s="14">
        <v>-48</v>
      </c>
      <c r="T72" s="171">
        <v>-399</v>
      </c>
      <c r="U72" s="14">
        <v>-328</v>
      </c>
      <c r="V72" s="14">
        <v>-71</v>
      </c>
      <c r="W72" s="171">
        <v>9</v>
      </c>
      <c r="X72" s="14">
        <v>-14</v>
      </c>
      <c r="Y72" s="14">
        <v>23</v>
      </c>
      <c r="Z72" s="171">
        <v>-5</v>
      </c>
      <c r="AA72" s="14">
        <v>-5</v>
      </c>
      <c r="AB72" s="14">
        <v>0</v>
      </c>
      <c r="AC72" s="171">
        <v>13</v>
      </c>
      <c r="AD72" s="14">
        <v>-9</v>
      </c>
      <c r="AE72" s="14">
        <v>23</v>
      </c>
      <c r="AF72" s="171">
        <v>5</v>
      </c>
      <c r="AG72" s="14">
        <v>-18</v>
      </c>
      <c r="AH72" s="14">
        <v>23</v>
      </c>
      <c r="AJ72" s="163"/>
    </row>
    <row r="73" spans="1:36" ht="15" customHeight="1">
      <c r="A73" s="32" t="s">
        <v>293</v>
      </c>
      <c r="B73" s="171">
        <v>-184</v>
      </c>
      <c r="C73" s="14">
        <v>-184</v>
      </c>
      <c r="D73" s="14">
        <v>0</v>
      </c>
      <c r="E73" s="171">
        <v>-190</v>
      </c>
      <c r="F73" s="14">
        <v>-190</v>
      </c>
      <c r="G73" s="14">
        <v>0</v>
      </c>
      <c r="H73" s="171">
        <v>5</v>
      </c>
      <c r="I73" s="14">
        <v>5</v>
      </c>
      <c r="J73" s="14">
        <v>0</v>
      </c>
      <c r="K73" s="171">
        <v>57</v>
      </c>
      <c r="L73" s="14">
        <v>57</v>
      </c>
      <c r="M73" s="14">
        <v>0</v>
      </c>
      <c r="N73" s="171">
        <v>-51</v>
      </c>
      <c r="O73" s="14">
        <v>-51</v>
      </c>
      <c r="P73" s="14">
        <v>0</v>
      </c>
      <c r="Q73" s="171">
        <v>-452</v>
      </c>
      <c r="R73" s="14">
        <v>-452</v>
      </c>
      <c r="S73" s="14">
        <v>0</v>
      </c>
      <c r="T73" s="171">
        <v>-387</v>
      </c>
      <c r="U73" s="14">
        <v>-387</v>
      </c>
      <c r="V73" s="14">
        <v>0</v>
      </c>
      <c r="W73" s="171">
        <v>-65</v>
      </c>
      <c r="X73" s="14">
        <v>-65</v>
      </c>
      <c r="Y73" s="14">
        <v>0</v>
      </c>
      <c r="Z73" s="171">
        <v>-62</v>
      </c>
      <c r="AA73" s="14">
        <v>-62</v>
      </c>
      <c r="AB73" s="14">
        <v>0</v>
      </c>
      <c r="AC73" s="171">
        <v>-2</v>
      </c>
      <c r="AD73" s="14">
        <v>-2</v>
      </c>
      <c r="AE73" s="14">
        <v>0</v>
      </c>
      <c r="AF73" s="171">
        <v>16</v>
      </c>
      <c r="AG73" s="14">
        <v>16</v>
      </c>
      <c r="AH73" s="14">
        <v>0</v>
      </c>
      <c r="AJ73" s="163"/>
    </row>
    <row r="74" spans="1:36" ht="15" customHeight="1">
      <c r="A74" s="58" t="s">
        <v>292</v>
      </c>
      <c r="B74" s="171">
        <v>921</v>
      </c>
      <c r="C74" s="14">
        <v>921</v>
      </c>
      <c r="D74" s="14">
        <v>0</v>
      </c>
      <c r="E74" s="171">
        <v>430</v>
      </c>
      <c r="F74" s="14">
        <v>430</v>
      </c>
      <c r="G74" s="14">
        <v>0</v>
      </c>
      <c r="H74" s="171">
        <v>491</v>
      </c>
      <c r="I74" s="14">
        <v>491</v>
      </c>
      <c r="J74" s="14">
        <v>0</v>
      </c>
      <c r="K74" s="171">
        <v>286</v>
      </c>
      <c r="L74" s="14">
        <v>286</v>
      </c>
      <c r="M74" s="14">
        <v>0</v>
      </c>
      <c r="N74" s="171">
        <v>205</v>
      </c>
      <c r="O74" s="14">
        <v>205</v>
      </c>
      <c r="P74" s="14">
        <v>0</v>
      </c>
      <c r="Q74" s="171">
        <v>503</v>
      </c>
      <c r="R74" s="14">
        <v>503</v>
      </c>
      <c r="S74" s="14">
        <v>0</v>
      </c>
      <c r="T74" s="171">
        <v>187</v>
      </c>
      <c r="U74" s="14">
        <v>187</v>
      </c>
      <c r="V74" s="14">
        <v>0</v>
      </c>
      <c r="W74" s="171">
        <v>316</v>
      </c>
      <c r="X74" s="14">
        <v>316</v>
      </c>
      <c r="Y74" s="14">
        <v>0</v>
      </c>
      <c r="Z74" s="171">
        <v>206</v>
      </c>
      <c r="AA74" s="14">
        <v>206</v>
      </c>
      <c r="AB74" s="14">
        <v>0</v>
      </c>
      <c r="AC74" s="171">
        <v>111</v>
      </c>
      <c r="AD74" s="14">
        <v>111</v>
      </c>
      <c r="AE74" s="14">
        <v>0</v>
      </c>
      <c r="AF74" s="171">
        <v>62</v>
      </c>
      <c r="AG74" s="14">
        <v>62</v>
      </c>
      <c r="AH74" s="14">
        <v>0</v>
      </c>
      <c r="AJ74" s="163"/>
    </row>
    <row r="75" spans="1:36" ht="15" customHeight="1">
      <c r="A75" s="62" t="s">
        <v>19</v>
      </c>
      <c r="B75" s="171">
        <v>210</v>
      </c>
      <c r="C75" s="14">
        <v>210</v>
      </c>
      <c r="D75" s="14">
        <v>0</v>
      </c>
      <c r="E75" s="171">
        <v>110</v>
      </c>
      <c r="F75" s="14">
        <v>110</v>
      </c>
      <c r="G75" s="14">
        <v>0</v>
      </c>
      <c r="H75" s="171">
        <v>100</v>
      </c>
      <c r="I75" s="14">
        <v>100</v>
      </c>
      <c r="J75" s="14">
        <v>0</v>
      </c>
      <c r="K75" s="171">
        <v>68</v>
      </c>
      <c r="L75" s="14">
        <v>68</v>
      </c>
      <c r="M75" s="14">
        <v>0</v>
      </c>
      <c r="N75" s="171">
        <v>32</v>
      </c>
      <c r="O75" s="14">
        <v>32</v>
      </c>
      <c r="P75" s="14">
        <v>0</v>
      </c>
      <c r="Q75" s="171">
        <v>148</v>
      </c>
      <c r="R75" s="14">
        <v>148</v>
      </c>
      <c r="S75" s="14">
        <v>0</v>
      </c>
      <c r="T75" s="171">
        <v>21</v>
      </c>
      <c r="U75" s="14">
        <v>21</v>
      </c>
      <c r="V75" s="14">
        <v>0</v>
      </c>
      <c r="W75" s="171">
        <v>127</v>
      </c>
      <c r="X75" s="14">
        <v>127</v>
      </c>
      <c r="Y75" s="14">
        <v>0</v>
      </c>
      <c r="Z75" s="171">
        <v>46</v>
      </c>
      <c r="AA75" s="14">
        <v>46</v>
      </c>
      <c r="AB75" s="14">
        <v>0</v>
      </c>
      <c r="AC75" s="171">
        <v>82</v>
      </c>
      <c r="AD75" s="14">
        <v>82</v>
      </c>
      <c r="AE75" s="14">
        <v>0</v>
      </c>
      <c r="AF75" s="171">
        <v>40</v>
      </c>
      <c r="AG75" s="14">
        <v>40</v>
      </c>
      <c r="AH75" s="14">
        <v>0</v>
      </c>
      <c r="AJ75" s="163"/>
    </row>
    <row r="76" spans="1:36" ht="15" customHeight="1">
      <c r="A76" s="32" t="s">
        <v>135</v>
      </c>
      <c r="B76" s="171">
        <v>1156</v>
      </c>
      <c r="C76" s="14">
        <v>1156</v>
      </c>
      <c r="D76" s="14">
        <v>0</v>
      </c>
      <c r="E76" s="171">
        <v>370</v>
      </c>
      <c r="F76" s="14">
        <v>370</v>
      </c>
      <c r="G76" s="14">
        <v>0</v>
      </c>
      <c r="H76" s="171">
        <v>785</v>
      </c>
      <c r="I76" s="14">
        <v>785</v>
      </c>
      <c r="J76" s="14">
        <v>0</v>
      </c>
      <c r="K76" s="171">
        <v>498</v>
      </c>
      <c r="L76" s="14">
        <v>498</v>
      </c>
      <c r="M76" s="14">
        <v>0</v>
      </c>
      <c r="N76" s="171">
        <v>287</v>
      </c>
      <c r="O76" s="14">
        <v>287</v>
      </c>
      <c r="P76" s="14">
        <v>0</v>
      </c>
      <c r="Q76" s="171">
        <v>553</v>
      </c>
      <c r="R76" s="14">
        <v>530</v>
      </c>
      <c r="S76" s="14">
        <v>24</v>
      </c>
      <c r="T76" s="171">
        <v>-89</v>
      </c>
      <c r="U76" s="14">
        <v>-89</v>
      </c>
      <c r="V76" s="14">
        <v>0</v>
      </c>
      <c r="W76" s="171">
        <v>642</v>
      </c>
      <c r="X76" s="14">
        <v>619</v>
      </c>
      <c r="Y76" s="14">
        <v>23</v>
      </c>
      <c r="Z76" s="171">
        <v>269</v>
      </c>
      <c r="AA76" s="14">
        <v>269</v>
      </c>
      <c r="AB76" s="14">
        <v>0</v>
      </c>
      <c r="AC76" s="171">
        <v>372</v>
      </c>
      <c r="AD76" s="14">
        <v>350</v>
      </c>
      <c r="AE76" s="14">
        <v>23</v>
      </c>
      <c r="AF76" s="171">
        <v>210</v>
      </c>
      <c r="AG76" s="14">
        <v>187</v>
      </c>
      <c r="AH76" s="14">
        <v>23</v>
      </c>
      <c r="AJ76" s="163"/>
    </row>
    <row r="77" spans="1:36" ht="15" customHeight="1">
      <c r="A77" s="93" t="s">
        <v>294</v>
      </c>
      <c r="B77" s="171">
        <v>1324</v>
      </c>
      <c r="C77" s="14">
        <v>1324</v>
      </c>
      <c r="D77" s="14">
        <v>0</v>
      </c>
      <c r="E77" s="171">
        <v>562</v>
      </c>
      <c r="F77" s="14">
        <v>562</v>
      </c>
      <c r="G77" s="14">
        <v>0</v>
      </c>
      <c r="H77" s="171">
        <v>762</v>
      </c>
      <c r="I77" s="14">
        <v>762</v>
      </c>
      <c r="J77" s="14">
        <v>0</v>
      </c>
      <c r="K77" s="171">
        <v>424</v>
      </c>
      <c r="L77" s="14">
        <v>424</v>
      </c>
      <c r="M77" s="14">
        <v>0</v>
      </c>
      <c r="N77" s="171">
        <v>338</v>
      </c>
      <c r="O77" s="14">
        <v>338</v>
      </c>
      <c r="P77" s="14">
        <v>0</v>
      </c>
      <c r="Q77" s="171">
        <v>1015</v>
      </c>
      <c r="R77" s="14">
        <v>1015</v>
      </c>
      <c r="S77" s="14">
        <v>0</v>
      </c>
      <c r="T77" s="171">
        <v>317</v>
      </c>
      <c r="U77" s="14">
        <v>317</v>
      </c>
      <c r="V77" s="14">
        <v>0</v>
      </c>
      <c r="W77" s="171">
        <v>698</v>
      </c>
      <c r="X77" s="14">
        <v>698</v>
      </c>
      <c r="Y77" s="14">
        <v>0</v>
      </c>
      <c r="Z77" s="171">
        <v>336</v>
      </c>
      <c r="AA77" s="14">
        <v>336</v>
      </c>
      <c r="AB77" s="14">
        <v>0</v>
      </c>
      <c r="AC77" s="171">
        <v>361</v>
      </c>
      <c r="AD77" s="14">
        <v>361</v>
      </c>
      <c r="AE77" s="14">
        <v>0</v>
      </c>
      <c r="AF77" s="171">
        <v>188</v>
      </c>
      <c r="AG77" s="14">
        <v>188</v>
      </c>
      <c r="AH77" s="14">
        <v>0</v>
      </c>
      <c r="AJ77" s="163"/>
    </row>
    <row r="78" spans="1:36" ht="15" customHeight="1" thickBot="1">
      <c r="A78" s="41" t="s">
        <v>140</v>
      </c>
      <c r="B78" s="171">
        <v>249</v>
      </c>
      <c r="C78" s="14">
        <v>249</v>
      </c>
      <c r="D78" s="14">
        <v>0</v>
      </c>
      <c r="E78" s="171">
        <v>85</v>
      </c>
      <c r="F78" s="14">
        <v>85</v>
      </c>
      <c r="G78" s="14">
        <v>0</v>
      </c>
      <c r="H78" s="171">
        <v>164</v>
      </c>
      <c r="I78" s="14">
        <v>164</v>
      </c>
      <c r="J78" s="14">
        <v>0</v>
      </c>
      <c r="K78" s="171">
        <v>76</v>
      </c>
      <c r="L78" s="14">
        <v>76</v>
      </c>
      <c r="M78" s="14">
        <v>0</v>
      </c>
      <c r="N78" s="171">
        <v>88</v>
      </c>
      <c r="O78" s="14">
        <v>88</v>
      </c>
      <c r="P78" s="14">
        <v>0</v>
      </c>
      <c r="Q78" s="171">
        <v>607</v>
      </c>
      <c r="R78" s="14">
        <v>607</v>
      </c>
      <c r="S78" s="14">
        <v>0</v>
      </c>
      <c r="T78" s="171">
        <v>198</v>
      </c>
      <c r="U78" s="14">
        <v>198</v>
      </c>
      <c r="V78" s="14">
        <v>0</v>
      </c>
      <c r="W78" s="171">
        <v>409</v>
      </c>
      <c r="X78" s="14">
        <v>409</v>
      </c>
      <c r="Y78" s="14">
        <v>0</v>
      </c>
      <c r="Z78" s="171">
        <v>121</v>
      </c>
      <c r="AA78" s="14">
        <v>121</v>
      </c>
      <c r="AB78" s="14">
        <v>0</v>
      </c>
      <c r="AC78" s="171">
        <v>288</v>
      </c>
      <c r="AD78" s="14">
        <v>288</v>
      </c>
      <c r="AE78" s="14">
        <v>0</v>
      </c>
      <c r="AF78" s="171">
        <v>175</v>
      </c>
      <c r="AG78" s="14">
        <v>175</v>
      </c>
      <c r="AH78" s="14">
        <v>0</v>
      </c>
      <c r="AJ78" s="163"/>
    </row>
    <row r="79" spans="1:36" ht="15" customHeight="1" thickTop="1">
      <c r="A79" s="164"/>
      <c r="B79" s="191"/>
      <c r="C79" s="24"/>
      <c r="D79" s="24"/>
      <c r="E79" s="191"/>
      <c r="F79" s="24"/>
      <c r="G79" s="24"/>
      <c r="H79" s="191"/>
      <c r="I79" s="24"/>
      <c r="J79" s="24"/>
      <c r="K79" s="191"/>
      <c r="L79" s="24"/>
      <c r="M79" s="24"/>
      <c r="N79" s="191"/>
      <c r="O79" s="24"/>
      <c r="P79" s="24"/>
      <c r="Q79" s="191"/>
      <c r="R79" s="24"/>
      <c r="S79" s="24"/>
      <c r="T79" s="191"/>
      <c r="U79" s="24"/>
      <c r="V79" s="24"/>
      <c r="W79" s="191"/>
      <c r="X79" s="24"/>
      <c r="Y79" s="24"/>
      <c r="Z79" s="191"/>
      <c r="AA79" s="24"/>
      <c r="AB79" s="24"/>
      <c r="AC79" s="191"/>
      <c r="AD79" s="24"/>
      <c r="AE79" s="24"/>
      <c r="AF79" s="191"/>
      <c r="AG79" s="24"/>
      <c r="AH79" s="24"/>
      <c r="AJ79" s="163"/>
    </row>
    <row r="80" spans="1:36" ht="30" customHeight="1">
      <c r="A80" s="265" t="s">
        <v>195</v>
      </c>
      <c r="B80" s="251" t="e">
        <f>INDEX(#REF!,MATCH(-174564184,#REF!,0),Sy_nop)</f>
        <v>#REF!</v>
      </c>
      <c r="C80" s="252" t="e">
        <f>INDEX(#REF!,MATCH(-187872572,#REF!,0),Sy_nop)</f>
        <v>#REF!</v>
      </c>
      <c r="D80" s="253" t="s">
        <v>275</v>
      </c>
      <c r="E80" s="251" t="e">
        <f>INDEX(#REF!,MATCH(-174564184,#REF!,0),Sy_nop)</f>
        <v>#REF!</v>
      </c>
      <c r="F80" s="252" t="e">
        <f>INDEX(#REF!,MATCH(-187872572,#REF!,0),Sy_nop)</f>
        <v>#REF!</v>
      </c>
      <c r="G80" s="253" t="s">
        <v>275</v>
      </c>
      <c r="H80" s="251" t="e">
        <f>INDEX(#REF!,MATCH(-174564184,#REF!,0),Sy_nop)</f>
        <v>#REF!</v>
      </c>
      <c r="I80" s="252" t="e">
        <f>INDEX(#REF!,MATCH(-187872572,#REF!,0),Sy_nop)</f>
        <v>#REF!</v>
      </c>
      <c r="J80" s="253" t="s">
        <v>275</v>
      </c>
      <c r="K80" s="251" t="e">
        <f>INDEX(#REF!,MATCH(-174564184,#REF!,0),Sy_nop)</f>
        <v>#REF!</v>
      </c>
      <c r="L80" s="252" t="e">
        <f>INDEX(#REF!,MATCH(-187872572,#REF!,0),Sy_nop)</f>
        <v>#REF!</v>
      </c>
      <c r="M80" s="253" t="s">
        <v>275</v>
      </c>
      <c r="N80" s="251" t="e">
        <f>INDEX(#REF!,MATCH(-174564184,#REF!,0),Sy_nop)</f>
        <v>#REF!</v>
      </c>
      <c r="O80" s="252" t="e">
        <f>INDEX(#REF!,MATCH(-187872572,#REF!,0),Sy_nop)</f>
        <v>#REF!</v>
      </c>
      <c r="P80" s="253" t="s">
        <v>275</v>
      </c>
      <c r="Q80" s="251" t="e">
        <f>INDEX(#REF!,MATCH(-174564184,#REF!,0),Sy_nop)</f>
        <v>#REF!</v>
      </c>
      <c r="R80" s="252" t="e">
        <f>INDEX(#REF!,MATCH(-187872572,#REF!,0),Sy_nop)</f>
        <v>#REF!</v>
      </c>
      <c r="S80" s="253" t="s">
        <v>275</v>
      </c>
      <c r="T80" s="251" t="e">
        <f>INDEX(#REF!,MATCH(-174564184,#REF!,0),Sy_nop)</f>
        <v>#REF!</v>
      </c>
      <c r="U80" s="252" t="e">
        <f>INDEX(#REF!,MATCH(-187872572,#REF!,0),Sy_nop)</f>
        <v>#REF!</v>
      </c>
      <c r="V80" s="253" t="s">
        <v>275</v>
      </c>
      <c r="W80" s="251" t="e">
        <f>INDEX(#REF!,MATCH(-174564184,#REF!,0),Sy_nop)</f>
        <v>#REF!</v>
      </c>
      <c r="X80" s="252" t="e">
        <f>INDEX(#REF!,MATCH(-187872572,#REF!,0),Sy_nop)</f>
        <v>#REF!</v>
      </c>
      <c r="Y80" s="253" t="s">
        <v>275</v>
      </c>
      <c r="Z80" s="251" t="e">
        <f>INDEX(#REF!,MATCH(-174564184,#REF!,0),Sy_nop)</f>
        <v>#REF!</v>
      </c>
      <c r="AA80" s="252" t="e">
        <f>INDEX(#REF!,MATCH(-187872572,#REF!,0),Sy_nop)</f>
        <v>#REF!</v>
      </c>
      <c r="AB80" s="253" t="s">
        <v>275</v>
      </c>
      <c r="AC80" s="251" t="e">
        <f>INDEX(#REF!,MATCH(-174564184,#REF!,0),Sy_nop)</f>
        <v>#REF!</v>
      </c>
      <c r="AD80" s="252" t="e">
        <f>INDEX(#REF!,MATCH(-187872572,#REF!,0),Sy_nop)</f>
        <v>#REF!</v>
      </c>
      <c r="AE80" s="253" t="s">
        <v>275</v>
      </c>
      <c r="AF80" s="251" t="e">
        <f>INDEX(#REF!,MATCH(-174564184,#REF!,0),Sy_nop)</f>
        <v>#REF!</v>
      </c>
      <c r="AG80" s="252" t="e">
        <f>INDEX(#REF!,MATCH(-187872572,#REF!,0),Sy_nop)</f>
        <v>#REF!</v>
      </c>
      <c r="AH80" s="253" t="s">
        <v>275</v>
      </c>
    </row>
    <row r="81" spans="1:36" ht="15" customHeight="1" thickBot="1">
      <c r="A81" s="87" t="s">
        <v>287</v>
      </c>
      <c r="B81" s="254" t="s">
        <v>276</v>
      </c>
      <c r="C81" s="255" t="s">
        <v>276</v>
      </c>
      <c r="D81" s="256" t="e">
        <f>INDEX(#REF!,MATCH(29883458,#REF!,0),Sy_nop)</f>
        <v>#REF!</v>
      </c>
      <c r="E81" s="254" t="s">
        <v>277</v>
      </c>
      <c r="F81" s="255" t="s">
        <v>277</v>
      </c>
      <c r="G81" s="256" t="e">
        <f>INDEX(#REF!,MATCH(29883458,#REF!,0),Sy_nop)</f>
        <v>#REF!</v>
      </c>
      <c r="H81" s="254" t="e">
        <f>INDEX(#REF!,MATCH(179168049,#REF!,0),Sy_nop)</f>
        <v>#REF!</v>
      </c>
      <c r="I81" s="255" t="e">
        <f>INDEX(#REF!,MATCH(179168049,#REF!,0),Sy_nop)</f>
        <v>#REF!</v>
      </c>
      <c r="J81" s="256" t="e">
        <f>INDEX(#REF!,MATCH(29883458,#REF!,0),Sy_nop)</f>
        <v>#REF!</v>
      </c>
      <c r="K81" s="254" t="s">
        <v>279</v>
      </c>
      <c r="L81" s="255" t="s">
        <v>279</v>
      </c>
      <c r="M81" s="256" t="e">
        <f>INDEX(#REF!,MATCH(29883458,#REF!,0),Sy_nop)</f>
        <v>#REF!</v>
      </c>
      <c r="N81" s="254" t="s">
        <v>280</v>
      </c>
      <c r="O81" s="255" t="s">
        <v>280</v>
      </c>
      <c r="P81" s="256" t="e">
        <f>INDEX(#REF!,MATCH(29883458,#REF!,0),Sy_nop)</f>
        <v>#REF!</v>
      </c>
      <c r="Q81" s="254">
        <v>2014</v>
      </c>
      <c r="R81" s="255">
        <v>2014</v>
      </c>
      <c r="S81" s="256" t="e">
        <f>INDEX(#REF!,MATCH(29883458,#REF!,0),Sy_nop)</f>
        <v>#REF!</v>
      </c>
      <c r="T81" s="254" t="e">
        <f>INDEX(#REF!,MATCH(113048160,#REF!,0),Sy_nop)</f>
        <v>#REF!</v>
      </c>
      <c r="U81" s="255" t="e">
        <f>INDEX(#REF!,MATCH(113048160,#REF!,0),Sy_nop)</f>
        <v>#REF!</v>
      </c>
      <c r="V81" s="256" t="e">
        <f>INDEX(#REF!,MATCH(29883458,#REF!,0),Sy_nop)</f>
        <v>#REF!</v>
      </c>
      <c r="W81" s="254" t="e">
        <f>INDEX(#REF!,MATCH(54739964,#REF!,0),Sy_nop)</f>
        <v>#REF!</v>
      </c>
      <c r="X81" s="255" t="e">
        <f>INDEX(#REF!,MATCH(54739964,#REF!,0),Sy_nop)</f>
        <v>#REF!</v>
      </c>
      <c r="Y81" s="256" t="e">
        <f>INDEX(#REF!,MATCH(29883458,#REF!,0),Sy_nop)</f>
        <v>#REF!</v>
      </c>
      <c r="Z81" s="254" t="s">
        <v>283</v>
      </c>
      <c r="AA81" s="255" t="s">
        <v>283</v>
      </c>
      <c r="AB81" s="256" t="e">
        <f>INDEX(#REF!,MATCH(29883458,#REF!,0),Sy_nop)</f>
        <v>#REF!</v>
      </c>
      <c r="AC81" s="254" t="e">
        <f>INDEX(#REF!,MATCH(3931748,#REF!,0),Sy_nop)</f>
        <v>#REF!</v>
      </c>
      <c r="AD81" s="255" t="e">
        <f>INDEX(#REF!,MATCH(3931748,#REF!,0),Sy_nop)</f>
        <v>#REF!</v>
      </c>
      <c r="AE81" s="256" t="s">
        <v>287</v>
      </c>
      <c r="AF81" s="254" t="s">
        <v>285</v>
      </c>
      <c r="AG81" s="255" t="s">
        <v>285</v>
      </c>
      <c r="AH81" s="256" t="e">
        <f>INDEX(#REF!,MATCH(29883458,#REF!,0),Sy_nop)</f>
        <v>#REF!</v>
      </c>
    </row>
    <row r="82" spans="1:36" ht="15" customHeight="1" thickTop="1">
      <c r="A82" s="92" t="s">
        <v>0</v>
      </c>
      <c r="B82" s="171">
        <v>11</v>
      </c>
      <c r="C82" s="15">
        <v>12</v>
      </c>
      <c r="D82" s="15">
        <v>-1</v>
      </c>
      <c r="E82" s="171">
        <v>1</v>
      </c>
      <c r="F82" s="15">
        <v>1</v>
      </c>
      <c r="G82" s="15">
        <v>0</v>
      </c>
      <c r="H82" s="171">
        <v>10</v>
      </c>
      <c r="I82" s="15">
        <v>11</v>
      </c>
      <c r="J82" s="15">
        <v>-1</v>
      </c>
      <c r="K82" s="171">
        <v>20</v>
      </c>
      <c r="L82" s="15">
        <v>20</v>
      </c>
      <c r="M82" s="15">
        <v>0</v>
      </c>
      <c r="N82" s="171">
        <v>-10</v>
      </c>
      <c r="O82" s="15">
        <v>-9</v>
      </c>
      <c r="P82" s="15">
        <v>0</v>
      </c>
      <c r="Q82" s="171">
        <v>-257</v>
      </c>
      <c r="R82" s="15">
        <v>-209</v>
      </c>
      <c r="S82" s="15">
        <v>-48</v>
      </c>
      <c r="T82" s="171">
        <v>-355</v>
      </c>
      <c r="U82" s="15">
        <v>-284</v>
      </c>
      <c r="V82" s="15">
        <v>-71</v>
      </c>
      <c r="W82" s="171">
        <v>98</v>
      </c>
      <c r="X82" s="15">
        <v>75</v>
      </c>
      <c r="Y82" s="15">
        <v>23</v>
      </c>
      <c r="Z82" s="171">
        <v>35</v>
      </c>
      <c r="AA82" s="15">
        <v>35</v>
      </c>
      <c r="AB82" s="15">
        <v>0</v>
      </c>
      <c r="AC82" s="171">
        <v>63</v>
      </c>
      <c r="AD82" s="15">
        <v>40</v>
      </c>
      <c r="AE82" s="15">
        <v>23</v>
      </c>
      <c r="AF82" s="171">
        <v>37</v>
      </c>
      <c r="AG82" s="15">
        <v>14</v>
      </c>
      <c r="AH82" s="15">
        <v>23</v>
      </c>
      <c r="AJ82" s="163"/>
    </row>
    <row r="83" spans="1:36" ht="15" customHeight="1">
      <c r="A83" s="32" t="s">
        <v>11</v>
      </c>
      <c r="B83" s="193">
        <v>-1</v>
      </c>
      <c r="C83" s="15">
        <v>0</v>
      </c>
      <c r="D83" s="15">
        <v>-1</v>
      </c>
      <c r="E83" s="193">
        <v>0</v>
      </c>
      <c r="F83" s="15">
        <v>0</v>
      </c>
      <c r="G83" s="15">
        <v>0</v>
      </c>
      <c r="H83" s="193">
        <v>-1</v>
      </c>
      <c r="I83" s="15">
        <v>0</v>
      </c>
      <c r="J83" s="15">
        <v>-1</v>
      </c>
      <c r="K83" s="193">
        <v>0</v>
      </c>
      <c r="L83" s="15">
        <v>0</v>
      </c>
      <c r="M83" s="15">
        <v>0</v>
      </c>
      <c r="N83" s="193">
        <v>0</v>
      </c>
      <c r="O83" s="15">
        <v>0</v>
      </c>
      <c r="P83" s="15">
        <v>0</v>
      </c>
      <c r="Q83" s="193">
        <v>-290</v>
      </c>
      <c r="R83" s="15">
        <v>-242</v>
      </c>
      <c r="S83" s="15">
        <v>-48</v>
      </c>
      <c r="T83" s="193">
        <v>-334</v>
      </c>
      <c r="U83" s="15">
        <v>-263</v>
      </c>
      <c r="V83" s="15">
        <v>-71</v>
      </c>
      <c r="W83" s="193">
        <v>44</v>
      </c>
      <c r="X83" s="15">
        <v>21</v>
      </c>
      <c r="Y83" s="15">
        <v>23</v>
      </c>
      <c r="Z83" s="193">
        <v>2</v>
      </c>
      <c r="AA83" s="15">
        <v>2</v>
      </c>
      <c r="AB83" s="15">
        <v>0</v>
      </c>
      <c r="AC83" s="193">
        <v>42</v>
      </c>
      <c r="AD83" s="15">
        <v>19</v>
      </c>
      <c r="AE83" s="15">
        <v>23</v>
      </c>
      <c r="AF83" s="193">
        <v>36</v>
      </c>
      <c r="AG83" s="15">
        <v>13</v>
      </c>
      <c r="AH83" s="15">
        <v>23</v>
      </c>
      <c r="AJ83" s="163"/>
    </row>
    <row r="84" spans="1:36" ht="15" customHeight="1">
      <c r="A84" s="34" t="s">
        <v>293</v>
      </c>
      <c r="B84" s="171">
        <v>-34</v>
      </c>
      <c r="C84" s="15">
        <v>-34</v>
      </c>
      <c r="D84" s="15">
        <v>0</v>
      </c>
      <c r="E84" s="171">
        <v>-37</v>
      </c>
      <c r="F84" s="15">
        <v>-37</v>
      </c>
      <c r="G84" s="15">
        <v>0</v>
      </c>
      <c r="H84" s="171">
        <v>3</v>
      </c>
      <c r="I84" s="15">
        <v>3</v>
      </c>
      <c r="J84" s="15">
        <v>0</v>
      </c>
      <c r="K84" s="171">
        <v>8</v>
      </c>
      <c r="L84" s="15">
        <v>8</v>
      </c>
      <c r="M84" s="15">
        <v>0</v>
      </c>
      <c r="N84" s="171">
        <v>-5</v>
      </c>
      <c r="O84" s="15">
        <v>-5</v>
      </c>
      <c r="P84" s="15">
        <v>0</v>
      </c>
      <c r="Q84" s="171">
        <v>-75</v>
      </c>
      <c r="R84" s="15">
        <v>-75</v>
      </c>
      <c r="S84" s="15">
        <v>0</v>
      </c>
      <c r="T84" s="171">
        <v>-52</v>
      </c>
      <c r="U84" s="15">
        <v>-52</v>
      </c>
      <c r="V84" s="15">
        <v>0</v>
      </c>
      <c r="W84" s="171">
        <v>-22</v>
      </c>
      <c r="X84" s="15">
        <v>-22</v>
      </c>
      <c r="Y84" s="15">
        <v>0</v>
      </c>
      <c r="Z84" s="171">
        <v>-9</v>
      </c>
      <c r="AA84" s="15">
        <v>-9</v>
      </c>
      <c r="AB84" s="15">
        <v>0</v>
      </c>
      <c r="AC84" s="171">
        <v>-14</v>
      </c>
      <c r="AD84" s="15">
        <v>-14</v>
      </c>
      <c r="AE84" s="15">
        <v>0</v>
      </c>
      <c r="AF84" s="171">
        <v>-13</v>
      </c>
      <c r="AG84" s="15">
        <v>-13</v>
      </c>
      <c r="AH84" s="15">
        <v>0</v>
      </c>
      <c r="AJ84" s="163"/>
    </row>
    <row r="85" spans="1:36" ht="15" customHeight="1" thickBot="1">
      <c r="A85" s="43" t="s">
        <v>292</v>
      </c>
      <c r="B85" s="171">
        <v>46</v>
      </c>
      <c r="C85" s="15">
        <v>46</v>
      </c>
      <c r="D85" s="15">
        <v>0</v>
      </c>
      <c r="E85" s="171">
        <v>38</v>
      </c>
      <c r="F85" s="15">
        <v>38</v>
      </c>
      <c r="G85" s="15">
        <v>0</v>
      </c>
      <c r="H85" s="171">
        <v>8</v>
      </c>
      <c r="I85" s="15">
        <v>8</v>
      </c>
      <c r="J85" s="15">
        <v>0</v>
      </c>
      <c r="K85" s="171">
        <v>13</v>
      </c>
      <c r="L85" s="15">
        <v>13</v>
      </c>
      <c r="M85" s="15">
        <v>0</v>
      </c>
      <c r="N85" s="171">
        <v>-5</v>
      </c>
      <c r="O85" s="15">
        <v>-5</v>
      </c>
      <c r="P85" s="15">
        <v>0</v>
      </c>
      <c r="Q85" s="171">
        <v>108</v>
      </c>
      <c r="R85" s="15">
        <v>108</v>
      </c>
      <c r="S85" s="15">
        <v>0</v>
      </c>
      <c r="T85" s="171">
        <v>31</v>
      </c>
      <c r="U85" s="15">
        <v>31</v>
      </c>
      <c r="V85" s="15">
        <v>0</v>
      </c>
      <c r="W85" s="171">
        <v>77</v>
      </c>
      <c r="X85" s="15">
        <v>77</v>
      </c>
      <c r="Y85" s="15">
        <v>0</v>
      </c>
      <c r="Z85" s="171">
        <v>42</v>
      </c>
      <c r="AA85" s="15">
        <v>42</v>
      </c>
      <c r="AB85" s="15">
        <v>0</v>
      </c>
      <c r="AC85" s="171">
        <v>35</v>
      </c>
      <c r="AD85" s="15">
        <v>35</v>
      </c>
      <c r="AE85" s="15">
        <v>0</v>
      </c>
      <c r="AF85" s="171">
        <v>14</v>
      </c>
      <c r="AG85" s="15">
        <v>14</v>
      </c>
      <c r="AH85" s="15">
        <v>0</v>
      </c>
      <c r="AJ85" s="163"/>
    </row>
    <row r="86" spans="1:36" ht="9" customHeight="1" thickTop="1">
      <c r="A86" s="164"/>
      <c r="B86" s="191"/>
      <c r="C86" s="24"/>
      <c r="D86" s="24"/>
      <c r="E86" s="191"/>
      <c r="F86" s="24"/>
      <c r="G86" s="24"/>
      <c r="H86" s="191"/>
      <c r="I86" s="24"/>
      <c r="J86" s="24"/>
      <c r="K86" s="191"/>
      <c r="L86" s="24"/>
      <c r="M86" s="24"/>
      <c r="N86" s="191"/>
      <c r="O86" s="24"/>
      <c r="P86" s="24"/>
      <c r="Q86" s="191"/>
      <c r="R86" s="24"/>
      <c r="S86" s="24"/>
      <c r="T86" s="191"/>
      <c r="U86" s="24"/>
      <c r="V86" s="24"/>
      <c r="W86" s="191"/>
      <c r="X86" s="24"/>
      <c r="Y86" s="24"/>
      <c r="Z86" s="191"/>
      <c r="AA86" s="24"/>
      <c r="AB86" s="24"/>
      <c r="AC86" s="191"/>
      <c r="AD86" s="24"/>
      <c r="AE86" s="24"/>
      <c r="AF86" s="191"/>
      <c r="AG86" s="24"/>
      <c r="AH86" s="24"/>
      <c r="AJ86" s="163"/>
    </row>
    <row r="87" spans="1:36" ht="15" customHeight="1">
      <c r="A87" s="174" t="s">
        <v>290</v>
      </c>
      <c r="B87" s="266"/>
      <c r="C87" s="97"/>
      <c r="D87" s="97"/>
      <c r="E87" s="266"/>
      <c r="F87" s="97"/>
      <c r="G87" s="97"/>
      <c r="H87" s="266"/>
      <c r="I87" s="97"/>
      <c r="J87" s="97"/>
      <c r="K87" s="266"/>
      <c r="L87" s="97"/>
      <c r="M87" s="97"/>
      <c r="N87" s="266"/>
      <c r="O87" s="97"/>
      <c r="P87" s="97"/>
      <c r="Q87" s="266"/>
      <c r="R87" s="97"/>
      <c r="S87" s="97"/>
      <c r="T87" s="266"/>
      <c r="U87" s="97"/>
      <c r="V87" s="97"/>
      <c r="W87" s="266"/>
      <c r="X87" s="97"/>
      <c r="Y87" s="97"/>
      <c r="Z87" s="266"/>
      <c r="AA87" s="97"/>
      <c r="AB87" s="97"/>
      <c r="AC87" s="266"/>
      <c r="AD87" s="97"/>
      <c r="AE87" s="97"/>
      <c r="AF87" s="266"/>
      <c r="AG87" s="97"/>
      <c r="AH87" s="97"/>
      <c r="AI87" s="264"/>
      <c r="AJ87" s="163"/>
    </row>
    <row r="88" spans="1:36" ht="15" customHeight="1">
      <c r="A88" s="202"/>
      <c r="B88" s="97"/>
      <c r="C88" s="97"/>
      <c r="D88" s="97"/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  <c r="V88" s="97"/>
      <c r="W88" s="97"/>
      <c r="X88" s="97"/>
      <c r="Y88" s="97"/>
      <c r="Z88" s="97"/>
      <c r="AA88" s="97"/>
      <c r="AB88" s="97"/>
      <c r="AC88" s="97"/>
      <c r="AD88" s="97"/>
      <c r="AE88" s="97"/>
      <c r="AF88" s="97"/>
      <c r="AG88" s="97"/>
      <c r="AH88" s="97"/>
      <c r="AJ88" s="163"/>
    </row>
    <row r="89" spans="1:36" ht="15" customHeight="1">
      <c r="A89" s="40" t="s">
        <v>192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J89" s="163"/>
    </row>
    <row r="90" spans="1:36" ht="30" customHeight="1">
      <c r="B90" s="251" t="e">
        <f>INDEX(#REF!,MATCH(-174564184,#REF!,0),Sy_nop)</f>
        <v>#REF!</v>
      </c>
      <c r="C90" s="252" t="e">
        <f>INDEX(#REF!,MATCH(-187872572,#REF!,0),Sy_nop)</f>
        <v>#REF!</v>
      </c>
      <c r="D90" s="253" t="s">
        <v>275</v>
      </c>
      <c r="E90" s="251" t="e">
        <f>INDEX(#REF!,MATCH(-174564184,#REF!,0),Sy_nop)</f>
        <v>#REF!</v>
      </c>
      <c r="F90" s="252" t="e">
        <f>INDEX(#REF!,MATCH(-187872572,#REF!,0),Sy_nop)</f>
        <v>#REF!</v>
      </c>
      <c r="G90" s="253" t="s">
        <v>275</v>
      </c>
      <c r="H90" s="251" t="e">
        <f>INDEX(#REF!,MATCH(-174564184,#REF!,0),Sy_nop)</f>
        <v>#REF!</v>
      </c>
      <c r="I90" s="252" t="e">
        <f>INDEX(#REF!,MATCH(-187872572,#REF!,0),Sy_nop)</f>
        <v>#REF!</v>
      </c>
      <c r="J90" s="253" t="s">
        <v>275</v>
      </c>
      <c r="K90" s="251" t="e">
        <f>INDEX(#REF!,MATCH(-174564184,#REF!,0),Sy_nop)</f>
        <v>#REF!</v>
      </c>
      <c r="L90" s="252" t="e">
        <f>INDEX(#REF!,MATCH(-187872572,#REF!,0),Sy_nop)</f>
        <v>#REF!</v>
      </c>
      <c r="M90" s="253" t="s">
        <v>275</v>
      </c>
      <c r="N90" s="251" t="e">
        <f>INDEX(#REF!,MATCH(-174564184,#REF!,0),Sy_nop)</f>
        <v>#REF!</v>
      </c>
      <c r="O90" s="252" t="e">
        <f>INDEX(#REF!,MATCH(-187872572,#REF!,0),Sy_nop)</f>
        <v>#REF!</v>
      </c>
      <c r="P90" s="253" t="s">
        <v>275</v>
      </c>
      <c r="Q90" s="251" t="e">
        <f>INDEX(#REF!,MATCH(-174564184,#REF!,0),Sy_nop)</f>
        <v>#REF!</v>
      </c>
      <c r="R90" s="252" t="e">
        <f>INDEX(#REF!,MATCH(-187872572,#REF!,0),Sy_nop)</f>
        <v>#REF!</v>
      </c>
      <c r="S90" s="253" t="s">
        <v>275</v>
      </c>
      <c r="T90" s="251" t="e">
        <f>INDEX(#REF!,MATCH(-174564184,#REF!,0),Sy_nop)</f>
        <v>#REF!</v>
      </c>
      <c r="U90" s="252" t="e">
        <f>INDEX(#REF!,MATCH(-187872572,#REF!,0),Sy_nop)</f>
        <v>#REF!</v>
      </c>
      <c r="V90" s="253" t="s">
        <v>275</v>
      </c>
      <c r="W90" s="251" t="e">
        <f>INDEX(#REF!,MATCH(-174564184,#REF!,0),Sy_nop)</f>
        <v>#REF!</v>
      </c>
      <c r="X90" s="252" t="e">
        <f>INDEX(#REF!,MATCH(-187872572,#REF!,0),Sy_nop)</f>
        <v>#REF!</v>
      </c>
      <c r="Y90" s="253" t="s">
        <v>275</v>
      </c>
      <c r="Z90" s="251" t="e">
        <f>INDEX(#REF!,MATCH(-174564184,#REF!,0),Sy_nop)</f>
        <v>#REF!</v>
      </c>
      <c r="AA90" s="252" t="e">
        <f>INDEX(#REF!,MATCH(-187872572,#REF!,0),Sy_nop)</f>
        <v>#REF!</v>
      </c>
      <c r="AB90" s="253" t="s">
        <v>275</v>
      </c>
      <c r="AC90" s="251" t="e">
        <f>INDEX(#REF!,MATCH(-174564184,#REF!,0),Sy_nop)</f>
        <v>#REF!</v>
      </c>
      <c r="AD90" s="252" t="e">
        <f>INDEX(#REF!,MATCH(-187872572,#REF!,0),Sy_nop)</f>
        <v>#REF!</v>
      </c>
      <c r="AE90" s="253" t="s">
        <v>275</v>
      </c>
      <c r="AF90" s="251" t="e">
        <f>INDEX(#REF!,MATCH(-174564184,#REF!,0),Sy_nop)</f>
        <v>#REF!</v>
      </c>
      <c r="AG90" s="252" t="e">
        <f>INDEX(#REF!,MATCH(-187872572,#REF!,0),Sy_nop)</f>
        <v>#REF!</v>
      </c>
      <c r="AH90" s="253" t="s">
        <v>275</v>
      </c>
    </row>
    <row r="91" spans="1:36" ht="15" customHeight="1" thickBot="1">
      <c r="A91" s="87" t="s">
        <v>287</v>
      </c>
      <c r="B91" s="254" t="s">
        <v>276</v>
      </c>
      <c r="C91" s="255" t="s">
        <v>276</v>
      </c>
      <c r="D91" s="256" t="e">
        <f>INDEX(#REF!,MATCH(29883458,#REF!,0),Sy_nop)</f>
        <v>#REF!</v>
      </c>
      <c r="E91" s="254" t="s">
        <v>277</v>
      </c>
      <c r="F91" s="255" t="s">
        <v>277</v>
      </c>
      <c r="G91" s="256" t="e">
        <f>INDEX(#REF!,MATCH(29883458,#REF!,0),Sy_nop)</f>
        <v>#REF!</v>
      </c>
      <c r="H91" s="254" t="e">
        <f>INDEX(#REF!,MATCH(179168049,#REF!,0),Sy_nop)</f>
        <v>#REF!</v>
      </c>
      <c r="I91" s="255" t="e">
        <f>INDEX(#REF!,MATCH(179168049,#REF!,0),Sy_nop)</f>
        <v>#REF!</v>
      </c>
      <c r="J91" s="256" t="e">
        <f>INDEX(#REF!,MATCH(29883458,#REF!,0),Sy_nop)</f>
        <v>#REF!</v>
      </c>
      <c r="K91" s="254" t="s">
        <v>279</v>
      </c>
      <c r="L91" s="255" t="s">
        <v>279</v>
      </c>
      <c r="M91" s="256" t="e">
        <f>INDEX(#REF!,MATCH(29883458,#REF!,0),Sy_nop)</f>
        <v>#REF!</v>
      </c>
      <c r="N91" s="254" t="s">
        <v>280</v>
      </c>
      <c r="O91" s="255" t="s">
        <v>280</v>
      </c>
      <c r="P91" s="256" t="e">
        <f>INDEX(#REF!,MATCH(29883458,#REF!,0),Sy_nop)</f>
        <v>#REF!</v>
      </c>
      <c r="Q91" s="254">
        <v>2014</v>
      </c>
      <c r="R91" s="255">
        <v>2014</v>
      </c>
      <c r="S91" s="256" t="e">
        <f>INDEX(#REF!,MATCH(29883458,#REF!,0),Sy_nop)</f>
        <v>#REF!</v>
      </c>
      <c r="T91" s="254" t="e">
        <f>INDEX(#REF!,MATCH(113048160,#REF!,0),Sy_nop)</f>
        <v>#REF!</v>
      </c>
      <c r="U91" s="255" t="e">
        <f>INDEX(#REF!,MATCH(113048160,#REF!,0),Sy_nop)</f>
        <v>#REF!</v>
      </c>
      <c r="V91" s="256" t="e">
        <f>INDEX(#REF!,MATCH(29883458,#REF!,0),Sy_nop)</f>
        <v>#REF!</v>
      </c>
      <c r="W91" s="254" t="e">
        <f>INDEX(#REF!,MATCH(54739964,#REF!,0),Sy_nop)</f>
        <v>#REF!</v>
      </c>
      <c r="X91" s="255" t="e">
        <f>INDEX(#REF!,MATCH(54739964,#REF!,0),Sy_nop)</f>
        <v>#REF!</v>
      </c>
      <c r="Y91" s="256" t="e">
        <f>INDEX(#REF!,MATCH(29883458,#REF!,0),Sy_nop)</f>
        <v>#REF!</v>
      </c>
      <c r="Z91" s="254" t="s">
        <v>283</v>
      </c>
      <c r="AA91" s="255" t="s">
        <v>283</v>
      </c>
      <c r="AB91" s="256" t="e">
        <f>INDEX(#REF!,MATCH(29883458,#REF!,0),Sy_nop)</f>
        <v>#REF!</v>
      </c>
      <c r="AC91" s="254" t="e">
        <f>INDEX(#REF!,MATCH(3931748,#REF!,0),Sy_nop)</f>
        <v>#REF!</v>
      </c>
      <c r="AD91" s="255" t="e">
        <f>INDEX(#REF!,MATCH(3931748,#REF!,0),Sy_nop)</f>
        <v>#REF!</v>
      </c>
      <c r="AE91" s="256" t="s">
        <v>287</v>
      </c>
      <c r="AF91" s="254" t="s">
        <v>285</v>
      </c>
      <c r="AG91" s="255" t="s">
        <v>285</v>
      </c>
      <c r="AH91" s="256" t="e">
        <f>INDEX(#REF!,MATCH(29883458,#REF!,0),Sy_nop)</f>
        <v>#REF!</v>
      </c>
    </row>
    <row r="92" spans="1:36" ht="15" customHeight="1" thickTop="1">
      <c r="A92" s="92" t="s">
        <v>189</v>
      </c>
      <c r="B92" s="171">
        <v>3367</v>
      </c>
      <c r="C92" s="14">
        <v>3367</v>
      </c>
      <c r="D92" s="14">
        <v>0</v>
      </c>
      <c r="E92" s="171">
        <v>1007</v>
      </c>
      <c r="F92" s="14">
        <v>1007</v>
      </c>
      <c r="G92" s="14">
        <v>0</v>
      </c>
      <c r="H92" s="171">
        <v>2360</v>
      </c>
      <c r="I92" s="14">
        <v>2360</v>
      </c>
      <c r="J92" s="14">
        <v>0</v>
      </c>
      <c r="K92" s="171">
        <v>702</v>
      </c>
      <c r="L92" s="14">
        <v>702</v>
      </c>
      <c r="M92" s="14">
        <v>0</v>
      </c>
      <c r="N92" s="171">
        <v>1658</v>
      </c>
      <c r="O92" s="14">
        <v>1658</v>
      </c>
      <c r="P92" s="14">
        <v>0</v>
      </c>
      <c r="Q92" s="171">
        <v>6799</v>
      </c>
      <c r="R92" s="14">
        <v>6799</v>
      </c>
      <c r="S92" s="14">
        <v>0</v>
      </c>
      <c r="T92" s="171">
        <v>1269</v>
      </c>
      <c r="U92" s="14">
        <v>1269</v>
      </c>
      <c r="V92" s="14">
        <v>0</v>
      </c>
      <c r="W92" s="171">
        <v>5530</v>
      </c>
      <c r="X92" s="14">
        <v>5530</v>
      </c>
      <c r="Y92" s="14">
        <v>0</v>
      </c>
      <c r="Z92" s="171">
        <v>1333</v>
      </c>
      <c r="AA92" s="14">
        <v>1333</v>
      </c>
      <c r="AB92" s="14">
        <v>0</v>
      </c>
      <c r="AC92" s="171">
        <v>4197</v>
      </c>
      <c r="AD92" s="14">
        <v>4197</v>
      </c>
      <c r="AE92" s="14">
        <v>0</v>
      </c>
      <c r="AF92" s="171">
        <v>1456</v>
      </c>
      <c r="AG92" s="14">
        <v>1456</v>
      </c>
      <c r="AH92" s="14">
        <v>0</v>
      </c>
      <c r="AJ92" s="163"/>
    </row>
    <row r="93" spans="1:36" ht="15" customHeight="1">
      <c r="A93" s="32" t="s">
        <v>0</v>
      </c>
      <c r="B93" s="171">
        <v>-221</v>
      </c>
      <c r="C93" s="14">
        <v>-239</v>
      </c>
      <c r="D93" s="14">
        <v>18</v>
      </c>
      <c r="E93" s="171">
        <v>-64</v>
      </c>
      <c r="F93" s="14">
        <v>-81</v>
      </c>
      <c r="G93" s="14">
        <v>17</v>
      </c>
      <c r="H93" s="171">
        <v>-157</v>
      </c>
      <c r="I93" s="14">
        <v>-157</v>
      </c>
      <c r="J93" s="14">
        <v>1</v>
      </c>
      <c r="K93" s="171">
        <v>-220</v>
      </c>
      <c r="L93" s="14">
        <v>-221</v>
      </c>
      <c r="M93" s="14">
        <v>0</v>
      </c>
      <c r="N93" s="171">
        <v>64</v>
      </c>
      <c r="O93" s="14">
        <v>63</v>
      </c>
      <c r="P93" s="14">
        <v>0</v>
      </c>
      <c r="Q93" s="171">
        <v>-200</v>
      </c>
      <c r="R93" s="14">
        <v>-162</v>
      </c>
      <c r="S93" s="14">
        <v>-37</v>
      </c>
      <c r="T93" s="171">
        <v>-295</v>
      </c>
      <c r="U93" s="14">
        <v>-258</v>
      </c>
      <c r="V93" s="14">
        <v>-37</v>
      </c>
      <c r="W93" s="171">
        <v>96</v>
      </c>
      <c r="X93" s="14">
        <v>96</v>
      </c>
      <c r="Y93" s="14">
        <v>0</v>
      </c>
      <c r="Z93" s="171">
        <v>17</v>
      </c>
      <c r="AA93" s="14">
        <v>17</v>
      </c>
      <c r="AB93" s="14">
        <v>0</v>
      </c>
      <c r="AC93" s="171">
        <v>78</v>
      </c>
      <c r="AD93" s="14">
        <v>78</v>
      </c>
      <c r="AE93" s="14">
        <v>0</v>
      </c>
      <c r="AF93" s="171">
        <v>22</v>
      </c>
      <c r="AG93" s="14">
        <v>22</v>
      </c>
      <c r="AH93" s="14">
        <v>0</v>
      </c>
      <c r="AJ93" s="163"/>
    </row>
    <row r="94" spans="1:36" ht="15" customHeight="1">
      <c r="A94" s="32" t="s">
        <v>11</v>
      </c>
      <c r="B94" s="171">
        <v>-231</v>
      </c>
      <c r="C94" s="14">
        <v>-249</v>
      </c>
      <c r="D94" s="14">
        <v>18</v>
      </c>
      <c r="E94" s="171">
        <v>-36</v>
      </c>
      <c r="F94" s="14">
        <v>-53</v>
      </c>
      <c r="G94" s="14">
        <v>17</v>
      </c>
      <c r="H94" s="171">
        <v>-195</v>
      </c>
      <c r="I94" s="14">
        <v>-196</v>
      </c>
      <c r="J94" s="14">
        <v>1</v>
      </c>
      <c r="K94" s="171">
        <v>-204</v>
      </c>
      <c r="L94" s="14">
        <v>-204</v>
      </c>
      <c r="M94" s="14">
        <v>0</v>
      </c>
      <c r="N94" s="171">
        <v>9</v>
      </c>
      <c r="O94" s="14">
        <v>8</v>
      </c>
      <c r="P94" s="14">
        <v>0</v>
      </c>
      <c r="Q94" s="171">
        <v>-300</v>
      </c>
      <c r="R94" s="14">
        <v>-263</v>
      </c>
      <c r="S94" s="14">
        <v>-37</v>
      </c>
      <c r="T94" s="171">
        <v>-336</v>
      </c>
      <c r="U94" s="14">
        <v>-299</v>
      </c>
      <c r="V94" s="14">
        <v>-37</v>
      </c>
      <c r="W94" s="171">
        <v>36</v>
      </c>
      <c r="X94" s="14">
        <v>36</v>
      </c>
      <c r="Y94" s="14">
        <v>0</v>
      </c>
      <c r="Z94" s="171">
        <v>4</v>
      </c>
      <c r="AA94" s="14">
        <v>4</v>
      </c>
      <c r="AB94" s="14">
        <v>0</v>
      </c>
      <c r="AC94" s="171">
        <v>32</v>
      </c>
      <c r="AD94" s="14">
        <v>32</v>
      </c>
      <c r="AE94" s="14">
        <v>0</v>
      </c>
      <c r="AF94" s="171">
        <v>12</v>
      </c>
      <c r="AG94" s="14">
        <v>12</v>
      </c>
      <c r="AH94" s="14">
        <v>0</v>
      </c>
      <c r="AJ94" s="163"/>
    </row>
    <row r="95" spans="1:36" ht="15" customHeight="1">
      <c r="A95" s="27" t="s">
        <v>1</v>
      </c>
      <c r="B95" s="171">
        <v>10</v>
      </c>
      <c r="C95" s="14">
        <v>10</v>
      </c>
      <c r="D95" s="14">
        <v>0</v>
      </c>
      <c r="E95" s="171">
        <v>-28</v>
      </c>
      <c r="F95" s="14">
        <v>-28</v>
      </c>
      <c r="G95" s="14">
        <v>0</v>
      </c>
      <c r="H95" s="171">
        <v>38</v>
      </c>
      <c r="I95" s="14">
        <v>38</v>
      </c>
      <c r="J95" s="14">
        <v>0</v>
      </c>
      <c r="K95" s="171">
        <v>-17</v>
      </c>
      <c r="L95" s="14">
        <v>-17</v>
      </c>
      <c r="M95" s="14">
        <v>0</v>
      </c>
      <c r="N95" s="171">
        <v>55</v>
      </c>
      <c r="O95" s="14">
        <v>55</v>
      </c>
      <c r="P95" s="14">
        <v>0</v>
      </c>
      <c r="Q95" s="171">
        <v>101</v>
      </c>
      <c r="R95" s="14">
        <v>101</v>
      </c>
      <c r="S95" s="14">
        <v>0</v>
      </c>
      <c r="T95" s="171">
        <v>41</v>
      </c>
      <c r="U95" s="14">
        <v>41</v>
      </c>
      <c r="V95" s="14">
        <v>0</v>
      </c>
      <c r="W95" s="171">
        <v>60</v>
      </c>
      <c r="X95" s="14">
        <v>60</v>
      </c>
      <c r="Y95" s="14">
        <v>0</v>
      </c>
      <c r="Z95" s="171">
        <v>14</v>
      </c>
      <c r="AA95" s="14">
        <v>14</v>
      </c>
      <c r="AB95" s="14">
        <v>0</v>
      </c>
      <c r="AC95" s="171">
        <v>46</v>
      </c>
      <c r="AD95" s="14">
        <v>46</v>
      </c>
      <c r="AE95" s="14">
        <v>0</v>
      </c>
      <c r="AF95" s="171">
        <v>10</v>
      </c>
      <c r="AG95" s="14">
        <v>10</v>
      </c>
      <c r="AH95" s="14">
        <v>0</v>
      </c>
      <c r="AJ95" s="163"/>
    </row>
    <row r="96" spans="1:36" ht="15" customHeight="1">
      <c r="A96" s="30" t="s">
        <v>216</v>
      </c>
      <c r="B96" s="171">
        <v>93</v>
      </c>
      <c r="C96" s="14">
        <v>93</v>
      </c>
      <c r="D96" s="14">
        <v>0</v>
      </c>
      <c r="E96" s="171">
        <v>31</v>
      </c>
      <c r="F96" s="14">
        <v>31</v>
      </c>
      <c r="G96" s="14">
        <v>0</v>
      </c>
      <c r="H96" s="171">
        <v>62</v>
      </c>
      <c r="I96" s="14">
        <v>62</v>
      </c>
      <c r="J96" s="14">
        <v>0</v>
      </c>
      <c r="K96" s="171">
        <v>29</v>
      </c>
      <c r="L96" s="14">
        <v>29</v>
      </c>
      <c r="M96" s="14">
        <v>0</v>
      </c>
      <c r="N96" s="171">
        <v>33</v>
      </c>
      <c r="O96" s="14">
        <v>33</v>
      </c>
      <c r="P96" s="14">
        <v>0</v>
      </c>
      <c r="Q96" s="171">
        <v>150</v>
      </c>
      <c r="R96" s="14">
        <v>150</v>
      </c>
      <c r="S96" s="14">
        <v>0</v>
      </c>
      <c r="T96" s="171">
        <v>29</v>
      </c>
      <c r="U96" s="14">
        <v>29</v>
      </c>
      <c r="V96" s="14">
        <v>0</v>
      </c>
      <c r="W96" s="171">
        <v>120</v>
      </c>
      <c r="X96" s="14">
        <v>120</v>
      </c>
      <c r="Y96" s="14">
        <v>0</v>
      </c>
      <c r="Z96" s="171">
        <v>45</v>
      </c>
      <c r="AA96" s="14">
        <v>45</v>
      </c>
      <c r="AB96" s="14">
        <v>0</v>
      </c>
      <c r="AC96" s="171">
        <v>75</v>
      </c>
      <c r="AD96" s="14">
        <v>75</v>
      </c>
      <c r="AE96" s="14">
        <v>0</v>
      </c>
      <c r="AF96" s="171">
        <v>35</v>
      </c>
      <c r="AG96" s="14">
        <v>35</v>
      </c>
      <c r="AH96" s="14">
        <v>0</v>
      </c>
      <c r="AJ96" s="163"/>
    </row>
    <row r="97" spans="1:36" ht="15" customHeight="1">
      <c r="A97" s="32" t="s">
        <v>135</v>
      </c>
      <c r="B97" s="171">
        <v>112</v>
      </c>
      <c r="C97" s="14">
        <v>112</v>
      </c>
      <c r="D97" s="14">
        <v>0</v>
      </c>
      <c r="E97" s="171">
        <v>11</v>
      </c>
      <c r="F97" s="14">
        <v>11</v>
      </c>
      <c r="G97" s="14">
        <v>0</v>
      </c>
      <c r="H97" s="171">
        <v>101</v>
      </c>
      <c r="I97" s="14">
        <v>101</v>
      </c>
      <c r="J97" s="14">
        <v>0</v>
      </c>
      <c r="K97" s="171">
        <v>10</v>
      </c>
      <c r="L97" s="14">
        <v>10</v>
      </c>
      <c r="M97" s="14">
        <v>0</v>
      </c>
      <c r="N97" s="171">
        <v>91</v>
      </c>
      <c r="O97" s="14">
        <v>91</v>
      </c>
      <c r="P97" s="14">
        <v>0</v>
      </c>
      <c r="Q97" s="171">
        <v>206</v>
      </c>
      <c r="R97" s="14">
        <v>206</v>
      </c>
      <c r="S97" s="14">
        <v>0</v>
      </c>
      <c r="T97" s="171">
        <v>14</v>
      </c>
      <c r="U97" s="14">
        <v>14</v>
      </c>
      <c r="V97" s="14">
        <v>0</v>
      </c>
      <c r="W97" s="171">
        <v>191</v>
      </c>
      <c r="X97" s="14">
        <v>191</v>
      </c>
      <c r="Y97" s="14">
        <v>0</v>
      </c>
      <c r="Z97" s="171">
        <v>44</v>
      </c>
      <c r="AA97" s="14">
        <v>44</v>
      </c>
      <c r="AB97" s="14">
        <v>0</v>
      </c>
      <c r="AC97" s="171">
        <v>147</v>
      </c>
      <c r="AD97" s="14">
        <v>147</v>
      </c>
      <c r="AE97" s="14">
        <v>0</v>
      </c>
      <c r="AF97" s="171">
        <v>63</v>
      </c>
      <c r="AG97" s="14">
        <v>63</v>
      </c>
      <c r="AH97" s="14">
        <v>0</v>
      </c>
      <c r="AJ97" s="163"/>
    </row>
    <row r="98" spans="1:36" ht="15" customHeight="1">
      <c r="A98" s="93" t="s">
        <v>208</v>
      </c>
      <c r="B98" s="171">
        <v>89</v>
      </c>
      <c r="C98" s="14">
        <v>89</v>
      </c>
      <c r="D98" s="14">
        <v>0</v>
      </c>
      <c r="E98" s="171">
        <v>-3</v>
      </c>
      <c r="F98" s="14">
        <v>-3</v>
      </c>
      <c r="G98" s="14">
        <v>0</v>
      </c>
      <c r="H98" s="171">
        <v>92</v>
      </c>
      <c r="I98" s="14">
        <v>92</v>
      </c>
      <c r="J98" s="14">
        <v>0</v>
      </c>
      <c r="K98" s="171">
        <v>10</v>
      </c>
      <c r="L98" s="14">
        <v>10</v>
      </c>
      <c r="M98" s="14">
        <v>0</v>
      </c>
      <c r="N98" s="171">
        <v>82</v>
      </c>
      <c r="O98" s="14">
        <v>82</v>
      </c>
      <c r="P98" s="14">
        <v>0</v>
      </c>
      <c r="Q98" s="171">
        <v>225</v>
      </c>
      <c r="R98" s="14">
        <v>225</v>
      </c>
      <c r="S98" s="14">
        <v>0</v>
      </c>
      <c r="T98" s="171">
        <v>69</v>
      </c>
      <c r="U98" s="14">
        <v>69</v>
      </c>
      <c r="V98" s="14">
        <v>0</v>
      </c>
      <c r="W98" s="171">
        <v>155</v>
      </c>
      <c r="X98" s="14">
        <v>155</v>
      </c>
      <c r="Y98" s="14">
        <v>0</v>
      </c>
      <c r="Z98" s="171">
        <v>41</v>
      </c>
      <c r="AA98" s="14">
        <v>41</v>
      </c>
      <c r="AB98" s="14">
        <v>0</v>
      </c>
      <c r="AC98" s="171">
        <v>115</v>
      </c>
      <c r="AD98" s="14">
        <v>115</v>
      </c>
      <c r="AE98" s="14">
        <v>0</v>
      </c>
      <c r="AF98" s="171">
        <v>51</v>
      </c>
      <c r="AG98" s="14">
        <v>51</v>
      </c>
      <c r="AH98" s="14">
        <v>0</v>
      </c>
      <c r="AJ98" s="163"/>
    </row>
    <row r="99" spans="1:36" ht="15" customHeight="1" thickBot="1">
      <c r="A99" s="41" t="s">
        <v>140</v>
      </c>
      <c r="B99" s="171">
        <v>33</v>
      </c>
      <c r="C99" s="14">
        <v>33</v>
      </c>
      <c r="D99" s="14">
        <v>0</v>
      </c>
      <c r="E99" s="171">
        <v>12</v>
      </c>
      <c r="F99" s="14">
        <v>12</v>
      </c>
      <c r="G99" s="14">
        <v>0</v>
      </c>
      <c r="H99" s="171">
        <v>20</v>
      </c>
      <c r="I99" s="14">
        <v>20</v>
      </c>
      <c r="J99" s="14">
        <v>0</v>
      </c>
      <c r="K99" s="171">
        <v>17</v>
      </c>
      <c r="L99" s="14">
        <v>17</v>
      </c>
      <c r="M99" s="14">
        <v>0</v>
      </c>
      <c r="N99" s="171">
        <v>3</v>
      </c>
      <c r="O99" s="14">
        <v>3</v>
      </c>
      <c r="P99" s="14">
        <v>0</v>
      </c>
      <c r="Q99" s="171">
        <v>243</v>
      </c>
      <c r="R99" s="14">
        <v>243</v>
      </c>
      <c r="S99" s="14">
        <v>0</v>
      </c>
      <c r="T99" s="171">
        <v>70</v>
      </c>
      <c r="U99" s="14">
        <v>70</v>
      </c>
      <c r="V99" s="14">
        <v>0</v>
      </c>
      <c r="W99" s="171">
        <v>173</v>
      </c>
      <c r="X99" s="14">
        <v>173</v>
      </c>
      <c r="Y99" s="14">
        <v>0</v>
      </c>
      <c r="Z99" s="171">
        <v>9</v>
      </c>
      <c r="AA99" s="14">
        <v>9</v>
      </c>
      <c r="AB99" s="14">
        <v>0</v>
      </c>
      <c r="AC99" s="171">
        <v>164</v>
      </c>
      <c r="AD99" s="14">
        <v>164</v>
      </c>
      <c r="AE99" s="14">
        <v>0</v>
      </c>
      <c r="AF99" s="171">
        <v>159</v>
      </c>
      <c r="AG99" s="14">
        <v>159</v>
      </c>
      <c r="AH99" s="14">
        <v>0</v>
      </c>
      <c r="AJ99" s="163"/>
    </row>
    <row r="100" spans="1:36" ht="15" customHeight="1" thickTop="1">
      <c r="A100" s="164"/>
      <c r="B100" s="191"/>
      <c r="C100" s="24"/>
      <c r="D100" s="24"/>
      <c r="E100" s="191"/>
      <c r="F100" s="24"/>
      <c r="G100" s="24"/>
      <c r="H100" s="191"/>
      <c r="I100" s="24"/>
      <c r="J100" s="24"/>
      <c r="K100" s="191"/>
      <c r="L100" s="24"/>
      <c r="M100" s="24"/>
      <c r="N100" s="191"/>
      <c r="O100" s="24"/>
      <c r="P100" s="24"/>
      <c r="Q100" s="191"/>
      <c r="R100" s="24"/>
      <c r="S100" s="24"/>
      <c r="T100" s="191"/>
      <c r="U100" s="24"/>
      <c r="V100" s="24"/>
      <c r="W100" s="191"/>
      <c r="X100" s="24"/>
      <c r="Y100" s="24"/>
      <c r="Z100" s="191"/>
      <c r="AA100" s="24"/>
      <c r="AB100" s="24"/>
      <c r="AC100" s="191"/>
      <c r="AD100" s="24"/>
      <c r="AE100" s="24"/>
      <c r="AF100" s="191"/>
      <c r="AG100" s="24"/>
      <c r="AH100" s="24"/>
      <c r="AJ100" s="163"/>
    </row>
    <row r="101" spans="1:36" ht="30" customHeight="1">
      <c r="A101" s="267" t="s">
        <v>179</v>
      </c>
      <c r="B101" s="251" t="e">
        <f>INDEX(#REF!,MATCH(-174564184,#REF!,0),Sy_nop)</f>
        <v>#REF!</v>
      </c>
      <c r="C101" s="252" t="e">
        <f>INDEX(#REF!,MATCH(-187872572,#REF!,0),Sy_nop)</f>
        <v>#REF!</v>
      </c>
      <c r="D101" s="253" t="s">
        <v>275</v>
      </c>
      <c r="E101" s="251" t="e">
        <f>INDEX(#REF!,MATCH(-174564184,#REF!,0),Sy_nop)</f>
        <v>#REF!</v>
      </c>
      <c r="F101" s="252" t="e">
        <f>INDEX(#REF!,MATCH(-187872572,#REF!,0),Sy_nop)</f>
        <v>#REF!</v>
      </c>
      <c r="G101" s="253" t="s">
        <v>275</v>
      </c>
      <c r="H101" s="251" t="e">
        <f>INDEX(#REF!,MATCH(-174564184,#REF!,0),Sy_nop)</f>
        <v>#REF!</v>
      </c>
      <c r="I101" s="252" t="e">
        <f>INDEX(#REF!,MATCH(-187872572,#REF!,0),Sy_nop)</f>
        <v>#REF!</v>
      </c>
      <c r="J101" s="253" t="s">
        <v>275</v>
      </c>
      <c r="K101" s="251" t="e">
        <f>INDEX(#REF!,MATCH(-174564184,#REF!,0),Sy_nop)</f>
        <v>#REF!</v>
      </c>
      <c r="L101" s="252" t="e">
        <f>INDEX(#REF!,MATCH(-187872572,#REF!,0),Sy_nop)</f>
        <v>#REF!</v>
      </c>
      <c r="M101" s="253" t="s">
        <v>275</v>
      </c>
      <c r="N101" s="251" t="e">
        <f>INDEX(#REF!,MATCH(-174564184,#REF!,0),Sy_nop)</f>
        <v>#REF!</v>
      </c>
      <c r="O101" s="252" t="e">
        <f>INDEX(#REF!,MATCH(-187872572,#REF!,0),Sy_nop)</f>
        <v>#REF!</v>
      </c>
      <c r="P101" s="253" t="s">
        <v>275</v>
      </c>
      <c r="Q101" s="251" t="e">
        <f>INDEX(#REF!,MATCH(-174564184,#REF!,0),Sy_nop)</f>
        <v>#REF!</v>
      </c>
      <c r="R101" s="252" t="e">
        <f>INDEX(#REF!,MATCH(-187872572,#REF!,0),Sy_nop)</f>
        <v>#REF!</v>
      </c>
      <c r="S101" s="253" t="s">
        <v>275</v>
      </c>
      <c r="T101" s="251" t="e">
        <f>INDEX(#REF!,MATCH(-174564184,#REF!,0),Sy_nop)</f>
        <v>#REF!</v>
      </c>
      <c r="U101" s="252" t="e">
        <f>INDEX(#REF!,MATCH(-187872572,#REF!,0),Sy_nop)</f>
        <v>#REF!</v>
      </c>
      <c r="V101" s="253" t="s">
        <v>275</v>
      </c>
      <c r="W101" s="251" t="e">
        <f>INDEX(#REF!,MATCH(-174564184,#REF!,0),Sy_nop)</f>
        <v>#REF!</v>
      </c>
      <c r="X101" s="252" t="e">
        <f>INDEX(#REF!,MATCH(-187872572,#REF!,0),Sy_nop)</f>
        <v>#REF!</v>
      </c>
      <c r="Y101" s="253" t="s">
        <v>275</v>
      </c>
      <c r="Z101" s="251" t="e">
        <f>INDEX(#REF!,MATCH(-174564184,#REF!,0),Sy_nop)</f>
        <v>#REF!</v>
      </c>
      <c r="AA101" s="252" t="e">
        <f>INDEX(#REF!,MATCH(-187872572,#REF!,0),Sy_nop)</f>
        <v>#REF!</v>
      </c>
      <c r="AB101" s="253" t="s">
        <v>275</v>
      </c>
      <c r="AC101" s="251" t="e">
        <f>INDEX(#REF!,MATCH(-174564184,#REF!,0),Sy_nop)</f>
        <v>#REF!</v>
      </c>
      <c r="AD101" s="252" t="e">
        <f>INDEX(#REF!,MATCH(-187872572,#REF!,0),Sy_nop)</f>
        <v>#REF!</v>
      </c>
      <c r="AE101" s="253" t="s">
        <v>275</v>
      </c>
      <c r="AF101" s="251" t="e">
        <f>INDEX(#REF!,MATCH(-174564184,#REF!,0),Sy_nop)</f>
        <v>#REF!</v>
      </c>
      <c r="AG101" s="252" t="e">
        <f>INDEX(#REF!,MATCH(-187872572,#REF!,0),Sy_nop)</f>
        <v>#REF!</v>
      </c>
      <c r="AH101" s="253" t="s">
        <v>275</v>
      </c>
    </row>
    <row r="102" spans="1:36" ht="15" customHeight="1" thickBot="1">
      <c r="A102" s="87" t="s">
        <v>287</v>
      </c>
      <c r="B102" s="254" t="s">
        <v>276</v>
      </c>
      <c r="C102" s="255" t="s">
        <v>276</v>
      </c>
      <c r="D102" s="256" t="e">
        <f>INDEX(#REF!,MATCH(29883458,#REF!,0),Sy_nop)</f>
        <v>#REF!</v>
      </c>
      <c r="E102" s="254" t="s">
        <v>277</v>
      </c>
      <c r="F102" s="255" t="s">
        <v>277</v>
      </c>
      <c r="G102" s="256" t="e">
        <f>INDEX(#REF!,MATCH(29883458,#REF!,0),Sy_nop)</f>
        <v>#REF!</v>
      </c>
      <c r="H102" s="254" t="e">
        <f>INDEX(#REF!,MATCH(179168049,#REF!,0),Sy_nop)</f>
        <v>#REF!</v>
      </c>
      <c r="I102" s="255" t="e">
        <f>INDEX(#REF!,MATCH(179168049,#REF!,0),Sy_nop)</f>
        <v>#REF!</v>
      </c>
      <c r="J102" s="256" t="e">
        <f>INDEX(#REF!,MATCH(29883458,#REF!,0),Sy_nop)</f>
        <v>#REF!</v>
      </c>
      <c r="K102" s="254" t="s">
        <v>279</v>
      </c>
      <c r="L102" s="255" t="s">
        <v>279</v>
      </c>
      <c r="M102" s="256" t="e">
        <f>INDEX(#REF!,MATCH(29883458,#REF!,0),Sy_nop)</f>
        <v>#REF!</v>
      </c>
      <c r="N102" s="254" t="s">
        <v>280</v>
      </c>
      <c r="O102" s="255" t="s">
        <v>280</v>
      </c>
      <c r="P102" s="256" t="e">
        <f>INDEX(#REF!,MATCH(29883458,#REF!,0),Sy_nop)</f>
        <v>#REF!</v>
      </c>
      <c r="Q102" s="254">
        <v>2014</v>
      </c>
      <c r="R102" s="255">
        <v>2014</v>
      </c>
      <c r="S102" s="256" t="e">
        <f>INDEX(#REF!,MATCH(29883458,#REF!,0),Sy_nop)</f>
        <v>#REF!</v>
      </c>
      <c r="T102" s="254" t="e">
        <f>INDEX(#REF!,MATCH(113048160,#REF!,0),Sy_nop)</f>
        <v>#REF!</v>
      </c>
      <c r="U102" s="255" t="e">
        <f>INDEX(#REF!,MATCH(113048160,#REF!,0),Sy_nop)</f>
        <v>#REF!</v>
      </c>
      <c r="V102" s="256" t="e">
        <f>INDEX(#REF!,MATCH(29883458,#REF!,0),Sy_nop)</f>
        <v>#REF!</v>
      </c>
      <c r="W102" s="254" t="e">
        <f>INDEX(#REF!,MATCH(54739964,#REF!,0),Sy_nop)</f>
        <v>#REF!</v>
      </c>
      <c r="X102" s="255" t="e">
        <f>INDEX(#REF!,MATCH(54739964,#REF!,0),Sy_nop)</f>
        <v>#REF!</v>
      </c>
      <c r="Y102" s="256" t="e">
        <f>INDEX(#REF!,MATCH(29883458,#REF!,0),Sy_nop)</f>
        <v>#REF!</v>
      </c>
      <c r="Z102" s="254" t="s">
        <v>283</v>
      </c>
      <c r="AA102" s="255" t="s">
        <v>283</v>
      </c>
      <c r="AB102" s="256" t="e">
        <f>INDEX(#REF!,MATCH(29883458,#REF!,0),Sy_nop)</f>
        <v>#REF!</v>
      </c>
      <c r="AC102" s="254" t="e">
        <f>INDEX(#REF!,MATCH(3931748,#REF!,0),Sy_nop)</f>
        <v>#REF!</v>
      </c>
      <c r="AD102" s="255" t="e">
        <f>INDEX(#REF!,MATCH(3931748,#REF!,0),Sy_nop)</f>
        <v>#REF!</v>
      </c>
      <c r="AE102" s="256" t="s">
        <v>287</v>
      </c>
      <c r="AF102" s="254" t="s">
        <v>285</v>
      </c>
      <c r="AG102" s="255" t="s">
        <v>285</v>
      </c>
      <c r="AH102" s="256" t="e">
        <f>INDEX(#REF!,MATCH(29883458,#REF!,0),Sy_nop)</f>
        <v>#REF!</v>
      </c>
    </row>
    <row r="103" spans="1:36" ht="15" customHeight="1" thickTop="1">
      <c r="A103" s="92" t="s">
        <v>0</v>
      </c>
      <c r="B103" s="171">
        <v>-30</v>
      </c>
      <c r="C103" s="14">
        <v>-30</v>
      </c>
      <c r="D103" s="14">
        <v>1</v>
      </c>
      <c r="E103" s="171">
        <v>-12</v>
      </c>
      <c r="F103" s="14">
        <v>-12</v>
      </c>
      <c r="G103" s="14">
        <v>0</v>
      </c>
      <c r="H103" s="171">
        <v>-18</v>
      </c>
      <c r="I103" s="14">
        <v>-18</v>
      </c>
      <c r="J103" s="14">
        <v>0</v>
      </c>
      <c r="K103" s="171">
        <v>-19</v>
      </c>
      <c r="L103" s="14">
        <v>-19</v>
      </c>
      <c r="M103" s="14">
        <v>0</v>
      </c>
      <c r="N103" s="171">
        <v>1</v>
      </c>
      <c r="O103" s="14">
        <v>1</v>
      </c>
      <c r="P103" s="14">
        <v>0</v>
      </c>
      <c r="Q103" s="171">
        <v>-205</v>
      </c>
      <c r="R103" s="14">
        <v>-184</v>
      </c>
      <c r="S103" s="14">
        <v>-20</v>
      </c>
      <c r="T103" s="171">
        <v>-186</v>
      </c>
      <c r="U103" s="14">
        <v>-166</v>
      </c>
      <c r="V103" s="14">
        <v>-20</v>
      </c>
      <c r="W103" s="171">
        <v>-19</v>
      </c>
      <c r="X103" s="14">
        <v>-19</v>
      </c>
      <c r="Y103" s="14">
        <v>0</v>
      </c>
      <c r="Z103" s="171">
        <v>-24</v>
      </c>
      <c r="AA103" s="14">
        <v>-24</v>
      </c>
      <c r="AB103" s="14">
        <v>0</v>
      </c>
      <c r="AC103" s="171">
        <v>5</v>
      </c>
      <c r="AD103" s="14">
        <v>5</v>
      </c>
      <c r="AE103" s="14">
        <v>0</v>
      </c>
      <c r="AF103" s="171">
        <v>-3</v>
      </c>
      <c r="AG103" s="14">
        <v>-3</v>
      </c>
      <c r="AH103" s="14">
        <v>0</v>
      </c>
      <c r="AJ103" s="163"/>
    </row>
    <row r="104" spans="1:36" ht="15" customHeight="1">
      <c r="A104" s="100" t="s">
        <v>11</v>
      </c>
      <c r="B104" s="193">
        <v>1</v>
      </c>
      <c r="C104" s="192">
        <v>0</v>
      </c>
      <c r="D104" s="192">
        <v>1</v>
      </c>
      <c r="E104" s="193">
        <v>1</v>
      </c>
      <c r="F104" s="192">
        <v>0</v>
      </c>
      <c r="G104" s="192">
        <v>0</v>
      </c>
      <c r="H104" s="193">
        <v>0</v>
      </c>
      <c r="I104" s="192">
        <v>0</v>
      </c>
      <c r="J104" s="192">
        <v>0</v>
      </c>
      <c r="K104" s="193">
        <v>0</v>
      </c>
      <c r="L104" s="192">
        <v>0</v>
      </c>
      <c r="M104" s="192">
        <v>0</v>
      </c>
      <c r="N104" s="193">
        <v>0</v>
      </c>
      <c r="O104" s="192">
        <v>0</v>
      </c>
      <c r="P104" s="192">
        <v>0</v>
      </c>
      <c r="Q104" s="193">
        <v>-190</v>
      </c>
      <c r="R104" s="192">
        <v>-170</v>
      </c>
      <c r="S104" s="192">
        <v>-20</v>
      </c>
      <c r="T104" s="193">
        <v>-190</v>
      </c>
      <c r="U104" s="192">
        <v>-170</v>
      </c>
      <c r="V104" s="192">
        <v>-20</v>
      </c>
      <c r="W104" s="193">
        <v>0</v>
      </c>
      <c r="X104" s="192">
        <v>0</v>
      </c>
      <c r="Y104" s="192">
        <v>0</v>
      </c>
      <c r="Z104" s="193">
        <v>0</v>
      </c>
      <c r="AA104" s="192">
        <v>0</v>
      </c>
      <c r="AB104" s="192">
        <v>0</v>
      </c>
      <c r="AC104" s="193">
        <v>0</v>
      </c>
      <c r="AD104" s="192">
        <v>0</v>
      </c>
      <c r="AE104" s="192">
        <v>0</v>
      </c>
      <c r="AF104" s="193">
        <v>0</v>
      </c>
      <c r="AG104" s="192">
        <v>0</v>
      </c>
      <c r="AH104" s="192">
        <v>0</v>
      </c>
      <c r="AJ104" s="163"/>
    </row>
    <row r="105" spans="1:36" ht="15" customHeight="1" thickBot="1">
      <c r="A105" s="41" t="s">
        <v>1</v>
      </c>
      <c r="B105" s="171">
        <v>-31</v>
      </c>
      <c r="C105" s="14">
        <v>-31</v>
      </c>
      <c r="D105" s="14">
        <v>0</v>
      </c>
      <c r="E105" s="171">
        <v>-13</v>
      </c>
      <c r="F105" s="14">
        <v>-13</v>
      </c>
      <c r="G105" s="14">
        <v>0</v>
      </c>
      <c r="H105" s="171">
        <v>-18</v>
      </c>
      <c r="I105" s="14">
        <v>-18</v>
      </c>
      <c r="J105" s="14">
        <v>0</v>
      </c>
      <c r="K105" s="171">
        <v>-19</v>
      </c>
      <c r="L105" s="14">
        <v>-19</v>
      </c>
      <c r="M105" s="14">
        <v>0</v>
      </c>
      <c r="N105" s="171">
        <v>1</v>
      </c>
      <c r="O105" s="14">
        <v>1</v>
      </c>
      <c r="P105" s="14">
        <v>0</v>
      </c>
      <c r="Q105" s="171">
        <v>-15</v>
      </c>
      <c r="R105" s="14">
        <v>-15</v>
      </c>
      <c r="S105" s="14">
        <v>0</v>
      </c>
      <c r="T105" s="171">
        <v>4</v>
      </c>
      <c r="U105" s="14">
        <v>4</v>
      </c>
      <c r="V105" s="14">
        <v>0</v>
      </c>
      <c r="W105" s="171">
        <v>-19</v>
      </c>
      <c r="X105" s="14">
        <v>-19</v>
      </c>
      <c r="Y105" s="14">
        <v>0</v>
      </c>
      <c r="Z105" s="171">
        <v>-24</v>
      </c>
      <c r="AA105" s="14">
        <v>-24</v>
      </c>
      <c r="AB105" s="14">
        <v>0</v>
      </c>
      <c r="AC105" s="171">
        <v>6</v>
      </c>
      <c r="AD105" s="14">
        <v>6</v>
      </c>
      <c r="AE105" s="14">
        <v>0</v>
      </c>
      <c r="AF105" s="171">
        <v>-3</v>
      </c>
      <c r="AG105" s="14">
        <v>-3</v>
      </c>
      <c r="AH105" s="14">
        <v>0</v>
      </c>
      <c r="AJ105" s="163"/>
    </row>
    <row r="106" spans="1:36" ht="15" customHeight="1" thickTop="1">
      <c r="A106" s="164"/>
      <c r="B106" s="191"/>
      <c r="C106" s="24"/>
      <c r="D106" s="24"/>
      <c r="E106" s="191"/>
      <c r="F106" s="24"/>
      <c r="G106" s="24"/>
      <c r="H106" s="191"/>
      <c r="I106" s="24"/>
      <c r="J106" s="24"/>
      <c r="K106" s="191"/>
      <c r="L106" s="24"/>
      <c r="M106" s="24"/>
      <c r="N106" s="191"/>
      <c r="O106" s="24"/>
      <c r="P106" s="24"/>
      <c r="Q106" s="191"/>
      <c r="R106" s="24"/>
      <c r="S106" s="24"/>
      <c r="T106" s="191"/>
      <c r="U106" s="24"/>
      <c r="V106" s="24"/>
      <c r="W106" s="191"/>
      <c r="X106" s="24"/>
      <c r="Y106" s="24"/>
      <c r="Z106" s="191"/>
      <c r="AA106" s="24"/>
      <c r="AB106" s="24"/>
      <c r="AC106" s="191"/>
      <c r="AD106" s="24"/>
      <c r="AE106" s="24"/>
      <c r="AF106" s="191"/>
      <c r="AG106" s="24"/>
      <c r="AH106" s="24"/>
      <c r="AJ106" s="163"/>
    </row>
    <row r="107" spans="1:36" ht="15" customHeight="1">
      <c r="A107" s="98"/>
      <c r="B107" s="266"/>
      <c r="C107" s="97"/>
      <c r="D107" s="97"/>
      <c r="E107" s="266"/>
      <c r="F107" s="97"/>
      <c r="G107" s="97"/>
      <c r="H107" s="266"/>
      <c r="I107" s="97"/>
      <c r="J107" s="97"/>
      <c r="K107" s="266"/>
      <c r="L107" s="97"/>
      <c r="M107" s="97"/>
      <c r="N107" s="266"/>
      <c r="O107" s="97"/>
      <c r="P107" s="97"/>
      <c r="Q107" s="266"/>
      <c r="R107" s="97"/>
      <c r="S107" s="97"/>
      <c r="T107" s="266"/>
      <c r="U107" s="97"/>
      <c r="V107" s="97"/>
      <c r="W107" s="266"/>
      <c r="X107" s="97"/>
      <c r="Y107" s="97"/>
      <c r="Z107" s="266"/>
      <c r="AA107" s="97"/>
      <c r="AB107" s="97"/>
      <c r="AC107" s="266"/>
      <c r="AD107" s="97"/>
      <c r="AE107" s="97"/>
      <c r="AF107" s="266"/>
      <c r="AG107" s="97"/>
      <c r="AH107" s="97"/>
      <c r="AJ107" s="163"/>
    </row>
    <row r="108" spans="1:36" ht="15" customHeight="1">
      <c r="A108" s="263" t="s">
        <v>114</v>
      </c>
      <c r="B108" s="190"/>
      <c r="C108" s="190"/>
      <c r="D108" s="190"/>
      <c r="G108" s="190"/>
      <c r="J108" s="190"/>
      <c r="M108" s="190"/>
      <c r="P108" s="190"/>
      <c r="S108" s="190"/>
      <c r="V108" s="190"/>
      <c r="Y108" s="190"/>
      <c r="AB108" s="190"/>
      <c r="AE108" s="190"/>
      <c r="AH108" s="190"/>
      <c r="AJ108" s="163"/>
    </row>
    <row r="109" spans="1:36" ht="15" customHeight="1">
      <c r="A109" s="70"/>
      <c r="B109" s="269"/>
      <c r="C109" s="70"/>
      <c r="D109" s="70"/>
      <c r="E109" s="269"/>
      <c r="F109" s="70"/>
      <c r="G109" s="70"/>
      <c r="H109" s="269"/>
      <c r="I109" s="70"/>
      <c r="J109" s="70"/>
      <c r="K109" s="269"/>
      <c r="L109" s="70"/>
      <c r="M109" s="70"/>
      <c r="N109" s="269"/>
      <c r="O109" s="70"/>
      <c r="P109" s="70"/>
      <c r="Q109" s="269"/>
      <c r="R109" s="70"/>
      <c r="S109" s="70"/>
      <c r="T109" s="269"/>
      <c r="U109" s="70"/>
      <c r="V109" s="70"/>
      <c r="W109" s="269"/>
      <c r="X109" s="70"/>
      <c r="Y109" s="70"/>
      <c r="Z109" s="269"/>
      <c r="AA109" s="70"/>
      <c r="AB109" s="70"/>
      <c r="AC109" s="269"/>
      <c r="AD109" s="70"/>
      <c r="AE109" s="70"/>
      <c r="AF109" s="269"/>
      <c r="AG109" s="70"/>
      <c r="AH109" s="70"/>
      <c r="AJ109" s="163"/>
    </row>
    <row r="110" spans="1:36" ht="30" customHeight="1">
      <c r="A110" s="268" t="s">
        <v>152</v>
      </c>
      <c r="B110" s="251" t="e">
        <f>INDEX(#REF!,MATCH(-174564184,#REF!,0),Sy_nop)</f>
        <v>#REF!</v>
      </c>
      <c r="C110" s="252" t="e">
        <f>INDEX(#REF!,MATCH(-187872572,#REF!,0),Sy_nop)</f>
        <v>#REF!</v>
      </c>
      <c r="D110" s="253" t="s">
        <v>275</v>
      </c>
      <c r="E110" s="251" t="e">
        <f>INDEX(#REF!,MATCH(-174564184,#REF!,0),Sy_nop)</f>
        <v>#REF!</v>
      </c>
      <c r="F110" s="252" t="e">
        <f>INDEX(#REF!,MATCH(-187872572,#REF!,0),Sy_nop)</f>
        <v>#REF!</v>
      </c>
      <c r="G110" s="253" t="s">
        <v>275</v>
      </c>
      <c r="H110" s="251" t="e">
        <f>INDEX(#REF!,MATCH(-174564184,#REF!,0),Sy_nop)</f>
        <v>#REF!</v>
      </c>
      <c r="I110" s="252" t="e">
        <f>INDEX(#REF!,MATCH(-187872572,#REF!,0),Sy_nop)</f>
        <v>#REF!</v>
      </c>
      <c r="J110" s="253" t="s">
        <v>275</v>
      </c>
      <c r="K110" s="251" t="e">
        <f>INDEX(#REF!,MATCH(-174564184,#REF!,0),Sy_nop)</f>
        <v>#REF!</v>
      </c>
      <c r="L110" s="252" t="e">
        <f>INDEX(#REF!,MATCH(-187872572,#REF!,0),Sy_nop)</f>
        <v>#REF!</v>
      </c>
      <c r="M110" s="253" t="s">
        <v>275</v>
      </c>
      <c r="N110" s="251" t="e">
        <f>INDEX(#REF!,MATCH(-174564184,#REF!,0),Sy_nop)</f>
        <v>#REF!</v>
      </c>
      <c r="O110" s="252" t="e">
        <f>INDEX(#REF!,MATCH(-187872572,#REF!,0),Sy_nop)</f>
        <v>#REF!</v>
      </c>
      <c r="P110" s="253" t="s">
        <v>275</v>
      </c>
      <c r="Q110" s="251" t="e">
        <f>INDEX(#REF!,MATCH(-174564184,#REF!,0),Sy_nop)</f>
        <v>#REF!</v>
      </c>
      <c r="R110" s="252" t="e">
        <f>INDEX(#REF!,MATCH(-187872572,#REF!,0),Sy_nop)</f>
        <v>#REF!</v>
      </c>
      <c r="S110" s="253" t="s">
        <v>275</v>
      </c>
      <c r="T110" s="251" t="e">
        <f>INDEX(#REF!,MATCH(-174564184,#REF!,0),Sy_nop)</f>
        <v>#REF!</v>
      </c>
      <c r="U110" s="252" t="e">
        <f>INDEX(#REF!,MATCH(-187872572,#REF!,0),Sy_nop)</f>
        <v>#REF!</v>
      </c>
      <c r="V110" s="253" t="s">
        <v>275</v>
      </c>
      <c r="W110" s="251" t="e">
        <f>INDEX(#REF!,MATCH(-174564184,#REF!,0),Sy_nop)</f>
        <v>#REF!</v>
      </c>
      <c r="X110" s="252" t="e">
        <f>INDEX(#REF!,MATCH(-187872572,#REF!,0),Sy_nop)</f>
        <v>#REF!</v>
      </c>
      <c r="Y110" s="253" t="s">
        <v>275</v>
      </c>
      <c r="Z110" s="251" t="e">
        <f>INDEX(#REF!,MATCH(-174564184,#REF!,0),Sy_nop)</f>
        <v>#REF!</v>
      </c>
      <c r="AA110" s="252" t="e">
        <f>INDEX(#REF!,MATCH(-187872572,#REF!,0),Sy_nop)</f>
        <v>#REF!</v>
      </c>
      <c r="AB110" s="253" t="s">
        <v>275</v>
      </c>
      <c r="AC110" s="251" t="e">
        <f>INDEX(#REF!,MATCH(-174564184,#REF!,0),Sy_nop)</f>
        <v>#REF!</v>
      </c>
      <c r="AD110" s="252" t="e">
        <f>INDEX(#REF!,MATCH(-187872572,#REF!,0),Sy_nop)</f>
        <v>#REF!</v>
      </c>
      <c r="AE110" s="253" t="s">
        <v>275</v>
      </c>
      <c r="AF110" s="251" t="e">
        <f>INDEX(#REF!,MATCH(-174564184,#REF!,0),Sy_nop)</f>
        <v>#REF!</v>
      </c>
      <c r="AG110" s="252" t="e">
        <f>INDEX(#REF!,MATCH(-187872572,#REF!,0),Sy_nop)</f>
        <v>#REF!</v>
      </c>
      <c r="AH110" s="253" t="s">
        <v>275</v>
      </c>
      <c r="AJ110" s="163"/>
    </row>
    <row r="111" spans="1:36" ht="15" customHeight="1" thickBot="1">
      <c r="A111" s="26" t="s">
        <v>287</v>
      </c>
      <c r="B111" s="254" t="s">
        <v>276</v>
      </c>
      <c r="C111" s="255" t="s">
        <v>276</v>
      </c>
      <c r="D111" s="256" t="e">
        <f>INDEX(#REF!,MATCH(29883458,#REF!,0),Sy_nop)</f>
        <v>#REF!</v>
      </c>
      <c r="E111" s="254" t="s">
        <v>277</v>
      </c>
      <c r="F111" s="255" t="s">
        <v>277</v>
      </c>
      <c r="G111" s="256" t="e">
        <f>INDEX(#REF!,MATCH(29883458,#REF!,0),Sy_nop)</f>
        <v>#REF!</v>
      </c>
      <c r="H111" s="254" t="e">
        <f>INDEX(#REF!,MATCH(179168049,#REF!,0),Sy_nop)</f>
        <v>#REF!</v>
      </c>
      <c r="I111" s="255" t="e">
        <f>INDEX(#REF!,MATCH(179168049,#REF!,0),Sy_nop)</f>
        <v>#REF!</v>
      </c>
      <c r="J111" s="256" t="e">
        <f>INDEX(#REF!,MATCH(29883458,#REF!,0),Sy_nop)</f>
        <v>#REF!</v>
      </c>
      <c r="K111" s="254" t="s">
        <v>279</v>
      </c>
      <c r="L111" s="255" t="s">
        <v>279</v>
      </c>
      <c r="M111" s="256" t="e">
        <f>INDEX(#REF!,MATCH(29883458,#REF!,0),Sy_nop)</f>
        <v>#REF!</v>
      </c>
      <c r="N111" s="254" t="s">
        <v>280</v>
      </c>
      <c r="O111" s="255" t="s">
        <v>280</v>
      </c>
      <c r="P111" s="256" t="e">
        <f>INDEX(#REF!,MATCH(29883458,#REF!,0),Sy_nop)</f>
        <v>#REF!</v>
      </c>
      <c r="Q111" s="254">
        <v>2014</v>
      </c>
      <c r="R111" s="255">
        <v>2014</v>
      </c>
      <c r="S111" s="256" t="e">
        <f>INDEX(#REF!,MATCH(29883458,#REF!,0),Sy_nop)</f>
        <v>#REF!</v>
      </c>
      <c r="T111" s="254" t="e">
        <f>INDEX(#REF!,MATCH(113048160,#REF!,0),Sy_nop)</f>
        <v>#REF!</v>
      </c>
      <c r="U111" s="255" t="e">
        <f>INDEX(#REF!,MATCH(113048160,#REF!,0),Sy_nop)</f>
        <v>#REF!</v>
      </c>
      <c r="V111" s="256" t="e">
        <f>INDEX(#REF!,MATCH(29883458,#REF!,0),Sy_nop)</f>
        <v>#REF!</v>
      </c>
      <c r="W111" s="254" t="e">
        <f>INDEX(#REF!,MATCH(54739964,#REF!,0),Sy_nop)</f>
        <v>#REF!</v>
      </c>
      <c r="X111" s="255" t="e">
        <f>INDEX(#REF!,MATCH(54739964,#REF!,0),Sy_nop)</f>
        <v>#REF!</v>
      </c>
      <c r="Y111" s="256" t="e">
        <f>INDEX(#REF!,MATCH(29883458,#REF!,0),Sy_nop)</f>
        <v>#REF!</v>
      </c>
      <c r="Z111" s="254" t="s">
        <v>283</v>
      </c>
      <c r="AA111" s="255" t="s">
        <v>283</v>
      </c>
      <c r="AB111" s="256" t="e">
        <f>INDEX(#REF!,MATCH(29883458,#REF!,0),Sy_nop)</f>
        <v>#REF!</v>
      </c>
      <c r="AC111" s="254" t="e">
        <f>INDEX(#REF!,MATCH(3931748,#REF!,0),Sy_nop)</f>
        <v>#REF!</v>
      </c>
      <c r="AD111" s="255" t="e">
        <f>INDEX(#REF!,MATCH(3931748,#REF!,0),Sy_nop)</f>
        <v>#REF!</v>
      </c>
      <c r="AE111" s="256" t="s">
        <v>287</v>
      </c>
      <c r="AF111" s="254" t="s">
        <v>285</v>
      </c>
      <c r="AG111" s="255" t="s">
        <v>285</v>
      </c>
      <c r="AH111" s="256" t="e">
        <f>INDEX(#REF!,MATCH(29883458,#REF!,0),Sy_nop)</f>
        <v>#REF!</v>
      </c>
      <c r="AJ111" s="163"/>
    </row>
    <row r="112" spans="1:36" ht="15" customHeight="1" thickTop="1">
      <c r="A112" s="42" t="s">
        <v>291</v>
      </c>
      <c r="B112" s="171">
        <v>-845</v>
      </c>
      <c r="C112" s="15">
        <v>-845</v>
      </c>
      <c r="D112" s="15">
        <v>0</v>
      </c>
      <c r="E112" s="171">
        <v>-980</v>
      </c>
      <c r="F112" s="15">
        <v>-980</v>
      </c>
      <c r="G112" s="15">
        <v>0</v>
      </c>
      <c r="H112" s="171">
        <v>135</v>
      </c>
      <c r="I112" s="15">
        <v>135</v>
      </c>
      <c r="J112" s="15">
        <v>0</v>
      </c>
      <c r="K112" s="171">
        <v>106</v>
      </c>
      <c r="L112" s="15">
        <v>106</v>
      </c>
      <c r="M112" s="15">
        <v>0</v>
      </c>
      <c r="N112" s="171">
        <v>29</v>
      </c>
      <c r="O112" s="15">
        <v>29</v>
      </c>
      <c r="P112" s="15">
        <v>0</v>
      </c>
      <c r="Q112" s="171">
        <v>1466</v>
      </c>
      <c r="R112" s="15">
        <v>1466</v>
      </c>
      <c r="S112" s="15">
        <v>0</v>
      </c>
      <c r="T112" s="171">
        <v>220</v>
      </c>
      <c r="U112" s="15">
        <v>220</v>
      </c>
      <c r="V112" s="15">
        <v>0</v>
      </c>
      <c r="W112" s="171">
        <v>1246</v>
      </c>
      <c r="X112" s="15">
        <v>1246</v>
      </c>
      <c r="Y112" s="15">
        <v>0</v>
      </c>
      <c r="Z112" s="171">
        <v>435</v>
      </c>
      <c r="AA112" s="15">
        <v>435</v>
      </c>
      <c r="AB112" s="15">
        <v>0</v>
      </c>
      <c r="AC112" s="171">
        <v>812</v>
      </c>
      <c r="AD112" s="15">
        <v>812</v>
      </c>
      <c r="AE112" s="15">
        <v>0</v>
      </c>
      <c r="AF112" s="171">
        <v>211</v>
      </c>
      <c r="AG112" s="15">
        <v>211</v>
      </c>
      <c r="AH112" s="15">
        <v>0</v>
      </c>
      <c r="AJ112" s="163"/>
    </row>
    <row r="113" spans="1:36" ht="15" customHeight="1">
      <c r="A113" s="32" t="s">
        <v>186</v>
      </c>
      <c r="B113" s="171">
        <v>531</v>
      </c>
      <c r="C113" s="15">
        <v>514</v>
      </c>
      <c r="D113" s="15">
        <v>17</v>
      </c>
      <c r="E113" s="171">
        <v>174</v>
      </c>
      <c r="F113" s="15">
        <v>157</v>
      </c>
      <c r="G113" s="15">
        <v>17</v>
      </c>
      <c r="H113" s="171">
        <v>357</v>
      </c>
      <c r="I113" s="15">
        <v>357</v>
      </c>
      <c r="J113" s="15">
        <v>0</v>
      </c>
      <c r="K113" s="171">
        <v>140</v>
      </c>
      <c r="L113" s="15">
        <v>140</v>
      </c>
      <c r="M113" s="15">
        <v>0</v>
      </c>
      <c r="N113" s="171">
        <v>217</v>
      </c>
      <c r="O113" s="15">
        <v>217</v>
      </c>
      <c r="P113" s="15">
        <v>0</v>
      </c>
      <c r="Q113" s="171">
        <v>-538</v>
      </c>
      <c r="R113" s="15">
        <v>-453</v>
      </c>
      <c r="S113" s="15">
        <v>-86</v>
      </c>
      <c r="T113" s="171">
        <v>-894</v>
      </c>
      <c r="U113" s="15">
        <v>-786</v>
      </c>
      <c r="V113" s="15">
        <v>-108</v>
      </c>
      <c r="W113" s="171">
        <v>356</v>
      </c>
      <c r="X113" s="15">
        <v>333</v>
      </c>
      <c r="Y113" s="15">
        <v>23</v>
      </c>
      <c r="Z113" s="171">
        <v>156</v>
      </c>
      <c r="AA113" s="15">
        <v>156</v>
      </c>
      <c r="AB113" s="15">
        <v>0</v>
      </c>
      <c r="AC113" s="171">
        <v>200</v>
      </c>
      <c r="AD113" s="15">
        <v>177</v>
      </c>
      <c r="AE113" s="15">
        <v>23</v>
      </c>
      <c r="AF113" s="171">
        <v>105</v>
      </c>
      <c r="AG113" s="15">
        <v>82</v>
      </c>
      <c r="AH113" s="15">
        <v>23</v>
      </c>
      <c r="AJ113" s="163"/>
    </row>
    <row r="114" spans="1:36" ht="15" customHeight="1">
      <c r="A114" s="275" t="s">
        <v>213</v>
      </c>
      <c r="B114" s="171">
        <v>752</v>
      </c>
      <c r="C114" s="15">
        <v>753</v>
      </c>
      <c r="D114" s="15">
        <v>-1</v>
      </c>
      <c r="E114" s="171">
        <v>238</v>
      </c>
      <c r="F114" s="15">
        <v>239</v>
      </c>
      <c r="G114" s="15">
        <v>0</v>
      </c>
      <c r="H114" s="171">
        <v>513</v>
      </c>
      <c r="I114" s="15">
        <v>514</v>
      </c>
      <c r="J114" s="15">
        <v>-1</v>
      </c>
      <c r="K114" s="171">
        <v>360</v>
      </c>
      <c r="L114" s="15">
        <v>360</v>
      </c>
      <c r="M114" s="15">
        <v>0</v>
      </c>
      <c r="N114" s="171">
        <v>153</v>
      </c>
      <c r="O114" s="15">
        <v>154</v>
      </c>
      <c r="P114" s="15">
        <v>0</v>
      </c>
      <c r="Q114" s="171">
        <v>-338</v>
      </c>
      <c r="R114" s="15">
        <v>-290</v>
      </c>
      <c r="S114" s="15">
        <v>-48</v>
      </c>
      <c r="T114" s="171">
        <v>-599</v>
      </c>
      <c r="U114" s="15">
        <v>-528</v>
      </c>
      <c r="V114" s="15">
        <v>-71</v>
      </c>
      <c r="W114" s="171">
        <v>260</v>
      </c>
      <c r="X114" s="15">
        <v>238</v>
      </c>
      <c r="Y114" s="15">
        <v>23</v>
      </c>
      <c r="Z114" s="171">
        <v>139</v>
      </c>
      <c r="AA114" s="15">
        <v>139</v>
      </c>
      <c r="AB114" s="15">
        <v>0</v>
      </c>
      <c r="AC114" s="171">
        <v>122</v>
      </c>
      <c r="AD114" s="15">
        <v>99</v>
      </c>
      <c r="AE114" s="15">
        <v>23</v>
      </c>
      <c r="AF114" s="171">
        <v>83</v>
      </c>
      <c r="AG114" s="15">
        <v>60</v>
      </c>
      <c r="AH114" s="15">
        <v>23</v>
      </c>
      <c r="AJ114" s="163"/>
    </row>
    <row r="115" spans="1:36" ht="15" customHeight="1">
      <c r="A115" s="62" t="s">
        <v>214</v>
      </c>
      <c r="B115" s="171">
        <v>-221</v>
      </c>
      <c r="C115" s="15">
        <v>-239</v>
      </c>
      <c r="D115" s="15">
        <v>18</v>
      </c>
      <c r="E115" s="171">
        <v>-64</v>
      </c>
      <c r="F115" s="15">
        <v>-81</v>
      </c>
      <c r="G115" s="15">
        <v>17</v>
      </c>
      <c r="H115" s="171">
        <v>-157</v>
      </c>
      <c r="I115" s="15">
        <v>-157</v>
      </c>
      <c r="J115" s="15">
        <v>1</v>
      </c>
      <c r="K115" s="171">
        <v>-220</v>
      </c>
      <c r="L115" s="15">
        <v>-221</v>
      </c>
      <c r="M115" s="15">
        <v>0</v>
      </c>
      <c r="N115" s="171">
        <v>64</v>
      </c>
      <c r="O115" s="15">
        <v>63</v>
      </c>
      <c r="P115" s="15">
        <v>0</v>
      </c>
      <c r="Q115" s="171">
        <v>-200</v>
      </c>
      <c r="R115" s="15">
        <v>-162</v>
      </c>
      <c r="S115" s="15">
        <v>-37</v>
      </c>
      <c r="T115" s="171">
        <v>-295</v>
      </c>
      <c r="U115" s="15">
        <v>-258</v>
      </c>
      <c r="V115" s="15">
        <v>-37</v>
      </c>
      <c r="W115" s="171">
        <v>96</v>
      </c>
      <c r="X115" s="15">
        <v>96</v>
      </c>
      <c r="Y115" s="15">
        <v>0</v>
      </c>
      <c r="Z115" s="171">
        <v>17</v>
      </c>
      <c r="AA115" s="15">
        <v>17</v>
      </c>
      <c r="AB115" s="15">
        <v>0</v>
      </c>
      <c r="AC115" s="171">
        <v>78</v>
      </c>
      <c r="AD115" s="15">
        <v>78</v>
      </c>
      <c r="AE115" s="15">
        <v>0</v>
      </c>
      <c r="AF115" s="171">
        <v>22</v>
      </c>
      <c r="AG115" s="15">
        <v>22</v>
      </c>
      <c r="AH115" s="15">
        <v>0</v>
      </c>
      <c r="AJ115" s="163"/>
    </row>
    <row r="116" spans="1:36" ht="15" customHeight="1">
      <c r="A116" s="76" t="s">
        <v>3</v>
      </c>
      <c r="B116" s="219">
        <v>-9</v>
      </c>
      <c r="C116" s="143">
        <v>-9</v>
      </c>
      <c r="D116" s="143">
        <v>0</v>
      </c>
      <c r="E116" s="219">
        <v>0</v>
      </c>
      <c r="F116" s="143">
        <v>0</v>
      </c>
      <c r="G116" s="143">
        <v>0</v>
      </c>
      <c r="H116" s="219">
        <v>-9</v>
      </c>
      <c r="I116" s="143">
        <v>-9</v>
      </c>
      <c r="J116" s="143">
        <v>0</v>
      </c>
      <c r="K116" s="219">
        <v>8</v>
      </c>
      <c r="L116" s="143">
        <v>8</v>
      </c>
      <c r="M116" s="143">
        <v>0</v>
      </c>
      <c r="N116" s="219">
        <v>-17</v>
      </c>
      <c r="O116" s="143">
        <v>-17</v>
      </c>
      <c r="P116" s="143">
        <v>0</v>
      </c>
      <c r="Q116" s="219">
        <v>-63</v>
      </c>
      <c r="R116" s="143">
        <v>-63</v>
      </c>
      <c r="S116" s="143">
        <v>0</v>
      </c>
      <c r="T116" s="219">
        <v>-19</v>
      </c>
      <c r="U116" s="143">
        <v>-19</v>
      </c>
      <c r="V116" s="143">
        <v>0</v>
      </c>
      <c r="W116" s="219">
        <v>-44</v>
      </c>
      <c r="X116" s="143">
        <v>-44</v>
      </c>
      <c r="Y116" s="143">
        <v>0</v>
      </c>
      <c r="Z116" s="219">
        <v>-11</v>
      </c>
      <c r="AA116" s="143">
        <v>-11</v>
      </c>
      <c r="AB116" s="143">
        <v>0</v>
      </c>
      <c r="AC116" s="219">
        <v>-33</v>
      </c>
      <c r="AD116" s="143">
        <v>-33</v>
      </c>
      <c r="AE116" s="143">
        <v>0</v>
      </c>
      <c r="AF116" s="219">
        <v>-22</v>
      </c>
      <c r="AG116" s="143">
        <v>-22</v>
      </c>
      <c r="AH116" s="143">
        <v>0</v>
      </c>
      <c r="AJ116" s="163"/>
    </row>
    <row r="117" spans="1:36">
      <c r="A117" s="78" t="s">
        <v>42</v>
      </c>
      <c r="B117" s="218">
        <v>-323</v>
      </c>
      <c r="C117" s="145">
        <v>-339</v>
      </c>
      <c r="D117" s="145">
        <v>17</v>
      </c>
      <c r="E117" s="218">
        <v>-805</v>
      </c>
      <c r="F117" s="145">
        <v>-822</v>
      </c>
      <c r="G117" s="145">
        <v>17</v>
      </c>
      <c r="H117" s="218">
        <v>483</v>
      </c>
      <c r="I117" s="145">
        <v>483</v>
      </c>
      <c r="J117" s="145">
        <v>0</v>
      </c>
      <c r="K117" s="218">
        <v>253</v>
      </c>
      <c r="L117" s="145">
        <v>253</v>
      </c>
      <c r="M117" s="145">
        <v>0</v>
      </c>
      <c r="N117" s="218">
        <v>230</v>
      </c>
      <c r="O117" s="145">
        <v>230</v>
      </c>
      <c r="P117" s="145">
        <v>0</v>
      </c>
      <c r="Q117" s="218">
        <v>865</v>
      </c>
      <c r="R117" s="145">
        <v>950</v>
      </c>
      <c r="S117" s="145">
        <v>-86</v>
      </c>
      <c r="T117" s="218">
        <v>-693</v>
      </c>
      <c r="U117" s="145">
        <v>-585</v>
      </c>
      <c r="V117" s="145">
        <v>-108</v>
      </c>
      <c r="W117" s="218">
        <v>1558</v>
      </c>
      <c r="X117" s="145">
        <v>1535</v>
      </c>
      <c r="Y117" s="145">
        <v>23</v>
      </c>
      <c r="Z117" s="218">
        <v>580</v>
      </c>
      <c r="AA117" s="145">
        <v>580</v>
      </c>
      <c r="AB117" s="145">
        <v>0</v>
      </c>
      <c r="AC117" s="218">
        <v>978</v>
      </c>
      <c r="AD117" s="145">
        <v>956</v>
      </c>
      <c r="AE117" s="145">
        <v>23</v>
      </c>
      <c r="AF117" s="218">
        <v>293</v>
      </c>
      <c r="AG117" s="145">
        <v>271</v>
      </c>
      <c r="AH117" s="145">
        <v>23</v>
      </c>
      <c r="AJ117" s="163"/>
    </row>
    <row r="118" spans="1:36" ht="15" customHeight="1">
      <c r="A118" s="5" t="s">
        <v>43</v>
      </c>
      <c r="B118" s="219">
        <v>46</v>
      </c>
      <c r="C118" s="143">
        <v>46</v>
      </c>
      <c r="D118" s="143">
        <v>0</v>
      </c>
      <c r="E118" s="219">
        <v>78</v>
      </c>
      <c r="F118" s="143">
        <v>78</v>
      </c>
      <c r="G118" s="143">
        <v>0</v>
      </c>
      <c r="H118" s="219">
        <v>-32</v>
      </c>
      <c r="I118" s="143">
        <v>-32</v>
      </c>
      <c r="J118" s="143">
        <v>0</v>
      </c>
      <c r="K118" s="219">
        <v>-31</v>
      </c>
      <c r="L118" s="143">
        <v>-31</v>
      </c>
      <c r="M118" s="143">
        <v>0</v>
      </c>
      <c r="N118" s="219">
        <v>-1</v>
      </c>
      <c r="O118" s="143">
        <v>-1</v>
      </c>
      <c r="P118" s="143">
        <v>0</v>
      </c>
      <c r="Q118" s="219">
        <v>104</v>
      </c>
      <c r="R118" s="143">
        <v>104</v>
      </c>
      <c r="S118" s="143">
        <v>0</v>
      </c>
      <c r="T118" s="219">
        <v>161</v>
      </c>
      <c r="U118" s="143">
        <v>161</v>
      </c>
      <c r="V118" s="143">
        <v>0</v>
      </c>
      <c r="W118" s="219">
        <v>-57</v>
      </c>
      <c r="X118" s="143">
        <v>-57</v>
      </c>
      <c r="Y118" s="143">
        <v>0</v>
      </c>
      <c r="Z118" s="219">
        <v>-9</v>
      </c>
      <c r="AA118" s="143">
        <v>-9</v>
      </c>
      <c r="AB118" s="143">
        <v>0</v>
      </c>
      <c r="AC118" s="219">
        <v>-48</v>
      </c>
      <c r="AD118" s="143">
        <v>-48</v>
      </c>
      <c r="AE118" s="143">
        <v>0</v>
      </c>
      <c r="AF118" s="219">
        <v>-38</v>
      </c>
      <c r="AG118" s="143">
        <v>-38</v>
      </c>
      <c r="AH118" s="143">
        <v>0</v>
      </c>
      <c r="AJ118" s="163"/>
    </row>
    <row r="119" spans="1:36" ht="15" customHeight="1">
      <c r="A119" s="77" t="s">
        <v>44</v>
      </c>
      <c r="B119" s="219">
        <v>-277</v>
      </c>
      <c r="C119" s="145">
        <v>-294</v>
      </c>
      <c r="D119" s="145">
        <v>17</v>
      </c>
      <c r="E119" s="219">
        <v>-728</v>
      </c>
      <c r="F119" s="145">
        <v>-744</v>
      </c>
      <c r="G119" s="145">
        <v>17</v>
      </c>
      <c r="H119" s="219">
        <v>451</v>
      </c>
      <c r="I119" s="145">
        <v>451</v>
      </c>
      <c r="J119" s="145">
        <v>0</v>
      </c>
      <c r="K119" s="219">
        <v>222</v>
      </c>
      <c r="L119" s="145">
        <v>222</v>
      </c>
      <c r="M119" s="145">
        <v>0</v>
      </c>
      <c r="N119" s="219">
        <v>228</v>
      </c>
      <c r="O119" s="145">
        <v>228</v>
      </c>
      <c r="P119" s="145">
        <v>0</v>
      </c>
      <c r="Q119" s="219">
        <v>969</v>
      </c>
      <c r="R119" s="145">
        <v>1054</v>
      </c>
      <c r="S119" s="145">
        <v>-86</v>
      </c>
      <c r="T119" s="219">
        <v>-532</v>
      </c>
      <c r="U119" s="145">
        <v>-424</v>
      </c>
      <c r="V119" s="145">
        <v>-108</v>
      </c>
      <c r="W119" s="219">
        <v>1501</v>
      </c>
      <c r="X119" s="145">
        <v>1478</v>
      </c>
      <c r="Y119" s="145">
        <v>23</v>
      </c>
      <c r="Z119" s="219">
        <v>571</v>
      </c>
      <c r="AA119" s="145">
        <v>570</v>
      </c>
      <c r="AB119" s="145">
        <v>0</v>
      </c>
      <c r="AC119" s="219">
        <v>930</v>
      </c>
      <c r="AD119" s="145">
        <v>908</v>
      </c>
      <c r="AE119" s="145">
        <v>23</v>
      </c>
      <c r="AF119" s="219">
        <v>255</v>
      </c>
      <c r="AG119" s="145">
        <v>232</v>
      </c>
      <c r="AH119" s="145">
        <v>23</v>
      </c>
      <c r="AJ119" s="163"/>
    </row>
    <row r="120" spans="1:36" ht="15" customHeight="1">
      <c r="A120" s="76" t="s">
        <v>30</v>
      </c>
      <c r="B120" s="219">
        <v>78</v>
      </c>
      <c r="C120" s="143">
        <v>78</v>
      </c>
      <c r="D120" s="143">
        <v>0</v>
      </c>
      <c r="E120" s="219">
        <v>9</v>
      </c>
      <c r="F120" s="143">
        <v>9</v>
      </c>
      <c r="G120" s="143">
        <v>0</v>
      </c>
      <c r="H120" s="219">
        <v>69</v>
      </c>
      <c r="I120" s="143">
        <v>69</v>
      </c>
      <c r="J120" s="143">
        <v>0</v>
      </c>
      <c r="K120" s="219">
        <v>92</v>
      </c>
      <c r="L120" s="143">
        <v>92</v>
      </c>
      <c r="M120" s="143">
        <v>0</v>
      </c>
      <c r="N120" s="219">
        <v>-23</v>
      </c>
      <c r="O120" s="143">
        <v>-23</v>
      </c>
      <c r="P120" s="143">
        <v>0</v>
      </c>
      <c r="Q120" s="219">
        <v>-177</v>
      </c>
      <c r="R120" s="143">
        <v>-177</v>
      </c>
      <c r="S120" s="143">
        <v>0</v>
      </c>
      <c r="T120" s="219">
        <v>-70</v>
      </c>
      <c r="U120" s="143">
        <v>-70</v>
      </c>
      <c r="V120" s="143">
        <v>0</v>
      </c>
      <c r="W120" s="219">
        <v>-107</v>
      </c>
      <c r="X120" s="143">
        <v>-107</v>
      </c>
      <c r="Y120" s="143">
        <v>0</v>
      </c>
      <c r="Z120" s="219">
        <v>-31</v>
      </c>
      <c r="AA120" s="143">
        <v>-31</v>
      </c>
      <c r="AB120" s="143">
        <v>0</v>
      </c>
      <c r="AC120" s="219">
        <v>-76</v>
      </c>
      <c r="AD120" s="143">
        <v>-76</v>
      </c>
      <c r="AE120" s="143">
        <v>0</v>
      </c>
      <c r="AF120" s="219">
        <v>-14</v>
      </c>
      <c r="AG120" s="143">
        <v>-14</v>
      </c>
      <c r="AH120" s="143">
        <v>0</v>
      </c>
      <c r="AJ120" s="163"/>
    </row>
    <row r="121" spans="1:36" ht="15" customHeight="1" thickBot="1">
      <c r="A121" s="57" t="s">
        <v>147</v>
      </c>
      <c r="B121" s="166">
        <v>-199</v>
      </c>
      <c r="C121" s="72">
        <v>-215</v>
      </c>
      <c r="D121" s="72">
        <v>17</v>
      </c>
      <c r="E121" s="166">
        <v>-719</v>
      </c>
      <c r="F121" s="72">
        <v>-735</v>
      </c>
      <c r="G121" s="72">
        <v>17</v>
      </c>
      <c r="H121" s="166">
        <v>520</v>
      </c>
      <c r="I121" s="72">
        <v>520</v>
      </c>
      <c r="J121" s="72">
        <v>0</v>
      </c>
      <c r="K121" s="166">
        <v>314</v>
      </c>
      <c r="L121" s="72">
        <v>314</v>
      </c>
      <c r="M121" s="72">
        <v>0</v>
      </c>
      <c r="N121" s="166">
        <v>206</v>
      </c>
      <c r="O121" s="72">
        <v>206</v>
      </c>
      <c r="P121" s="72">
        <v>0</v>
      </c>
      <c r="Q121" s="166">
        <v>792</v>
      </c>
      <c r="R121" s="72">
        <v>878</v>
      </c>
      <c r="S121" s="72">
        <v>-86</v>
      </c>
      <c r="T121" s="166">
        <v>-602</v>
      </c>
      <c r="U121" s="72">
        <v>-493</v>
      </c>
      <c r="V121" s="72">
        <v>-108</v>
      </c>
      <c r="W121" s="166">
        <v>1394</v>
      </c>
      <c r="X121" s="72">
        <v>1371</v>
      </c>
      <c r="Y121" s="72">
        <v>23</v>
      </c>
      <c r="Z121" s="166">
        <v>540</v>
      </c>
      <c r="AA121" s="72">
        <v>539</v>
      </c>
      <c r="AB121" s="72">
        <v>0</v>
      </c>
      <c r="AC121" s="166">
        <v>854</v>
      </c>
      <c r="AD121" s="72">
        <v>831</v>
      </c>
      <c r="AE121" s="72">
        <v>23</v>
      </c>
      <c r="AF121" s="166">
        <v>242</v>
      </c>
      <c r="AG121" s="72">
        <v>219</v>
      </c>
      <c r="AH121" s="72">
        <v>23</v>
      </c>
      <c r="AJ121" s="163"/>
    </row>
    <row r="122" spans="1:36" ht="15" customHeight="1" thickTop="1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J122" s="163"/>
    </row>
    <row r="123" spans="1:36" ht="15" customHeight="1">
      <c r="A123" s="264"/>
      <c r="B123" s="70"/>
      <c r="C123" s="70"/>
      <c r="D123" s="70"/>
      <c r="E123" s="70"/>
      <c r="F123" s="70"/>
      <c r="G123" s="70"/>
      <c r="H123" s="70"/>
      <c r="I123" s="70"/>
      <c r="J123" s="70"/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  <c r="AH123" s="70"/>
      <c r="AI123" s="264"/>
      <c r="AJ123" s="163"/>
    </row>
    <row r="124" spans="1:36" ht="30" customHeight="1">
      <c r="A124" s="268" t="s">
        <v>135</v>
      </c>
      <c r="B124" s="251" t="e">
        <f>INDEX(#REF!,MATCH(-174564184,#REF!,0),Sy_nop)</f>
        <v>#REF!</v>
      </c>
      <c r="C124" s="252" t="e">
        <f>INDEX(#REF!,MATCH(-187872572,#REF!,0),Sy_nop)</f>
        <v>#REF!</v>
      </c>
      <c r="D124" s="253" t="s">
        <v>275</v>
      </c>
      <c r="E124" s="251" t="e">
        <f>INDEX(#REF!,MATCH(-174564184,#REF!,0),Sy_nop)</f>
        <v>#REF!</v>
      </c>
      <c r="F124" s="252" t="e">
        <f>INDEX(#REF!,MATCH(-187872572,#REF!,0),Sy_nop)</f>
        <v>#REF!</v>
      </c>
      <c r="G124" s="253" t="s">
        <v>275</v>
      </c>
      <c r="H124" s="251" t="e">
        <f>INDEX(#REF!,MATCH(-174564184,#REF!,0),Sy_nop)</f>
        <v>#REF!</v>
      </c>
      <c r="I124" s="252" t="e">
        <f>INDEX(#REF!,MATCH(-187872572,#REF!,0),Sy_nop)</f>
        <v>#REF!</v>
      </c>
      <c r="J124" s="253" t="s">
        <v>275</v>
      </c>
      <c r="K124" s="251" t="e">
        <f>INDEX(#REF!,MATCH(-174564184,#REF!,0),Sy_nop)</f>
        <v>#REF!</v>
      </c>
      <c r="L124" s="252" t="e">
        <f>INDEX(#REF!,MATCH(-187872572,#REF!,0),Sy_nop)</f>
        <v>#REF!</v>
      </c>
      <c r="M124" s="253" t="s">
        <v>275</v>
      </c>
      <c r="N124" s="251" t="e">
        <f>INDEX(#REF!,MATCH(-174564184,#REF!,0),Sy_nop)</f>
        <v>#REF!</v>
      </c>
      <c r="O124" s="252" t="e">
        <f>INDEX(#REF!,MATCH(-187872572,#REF!,0),Sy_nop)</f>
        <v>#REF!</v>
      </c>
      <c r="P124" s="253" t="s">
        <v>275</v>
      </c>
      <c r="Q124" s="251" t="e">
        <f>INDEX(#REF!,MATCH(-174564184,#REF!,0),Sy_nop)</f>
        <v>#REF!</v>
      </c>
      <c r="R124" s="252" t="e">
        <f>INDEX(#REF!,MATCH(-187872572,#REF!,0),Sy_nop)</f>
        <v>#REF!</v>
      </c>
      <c r="S124" s="253" t="s">
        <v>275</v>
      </c>
      <c r="T124" s="251" t="e">
        <f>INDEX(#REF!,MATCH(-174564184,#REF!,0),Sy_nop)</f>
        <v>#REF!</v>
      </c>
      <c r="U124" s="252" t="e">
        <f>INDEX(#REF!,MATCH(-187872572,#REF!,0),Sy_nop)</f>
        <v>#REF!</v>
      </c>
      <c r="V124" s="253" t="s">
        <v>275</v>
      </c>
      <c r="W124" s="251" t="e">
        <f>INDEX(#REF!,MATCH(-174564184,#REF!,0),Sy_nop)</f>
        <v>#REF!</v>
      </c>
      <c r="X124" s="252" t="e">
        <f>INDEX(#REF!,MATCH(-187872572,#REF!,0),Sy_nop)</f>
        <v>#REF!</v>
      </c>
      <c r="Y124" s="253" t="s">
        <v>275</v>
      </c>
      <c r="Z124" s="251" t="e">
        <f>INDEX(#REF!,MATCH(-174564184,#REF!,0),Sy_nop)</f>
        <v>#REF!</v>
      </c>
      <c r="AA124" s="252" t="e">
        <f>INDEX(#REF!,MATCH(-187872572,#REF!,0),Sy_nop)</f>
        <v>#REF!</v>
      </c>
      <c r="AB124" s="253" t="s">
        <v>275</v>
      </c>
      <c r="AC124" s="251" t="e">
        <f>INDEX(#REF!,MATCH(-174564184,#REF!,0),Sy_nop)</f>
        <v>#REF!</v>
      </c>
      <c r="AD124" s="252" t="e">
        <f>INDEX(#REF!,MATCH(-187872572,#REF!,0),Sy_nop)</f>
        <v>#REF!</v>
      </c>
      <c r="AE124" s="253" t="s">
        <v>275</v>
      </c>
      <c r="AF124" s="251" t="e">
        <f>INDEX(#REF!,MATCH(-174564184,#REF!,0),Sy_nop)</f>
        <v>#REF!</v>
      </c>
      <c r="AG124" s="252" t="e">
        <f>INDEX(#REF!,MATCH(-187872572,#REF!,0),Sy_nop)</f>
        <v>#REF!</v>
      </c>
      <c r="AH124" s="253" t="s">
        <v>275</v>
      </c>
      <c r="AJ124" s="163"/>
    </row>
    <row r="125" spans="1:36" ht="15" customHeight="1" thickBot="1">
      <c r="A125" s="26" t="s">
        <v>287</v>
      </c>
      <c r="B125" s="254" t="s">
        <v>276</v>
      </c>
      <c r="C125" s="255" t="s">
        <v>276</v>
      </c>
      <c r="D125" s="256" t="e">
        <f>INDEX(#REF!,MATCH(29883458,#REF!,0),Sy_nop)</f>
        <v>#REF!</v>
      </c>
      <c r="E125" s="254" t="s">
        <v>277</v>
      </c>
      <c r="F125" s="255" t="s">
        <v>277</v>
      </c>
      <c r="G125" s="256" t="e">
        <f>INDEX(#REF!,MATCH(29883458,#REF!,0),Sy_nop)</f>
        <v>#REF!</v>
      </c>
      <c r="H125" s="254" t="e">
        <f>INDEX(#REF!,MATCH(179168049,#REF!,0),Sy_nop)</f>
        <v>#REF!</v>
      </c>
      <c r="I125" s="255" t="e">
        <f>INDEX(#REF!,MATCH(179168049,#REF!,0),Sy_nop)</f>
        <v>#REF!</v>
      </c>
      <c r="J125" s="256" t="e">
        <f>INDEX(#REF!,MATCH(29883458,#REF!,0),Sy_nop)</f>
        <v>#REF!</v>
      </c>
      <c r="K125" s="254" t="s">
        <v>279</v>
      </c>
      <c r="L125" s="255" t="s">
        <v>279</v>
      </c>
      <c r="M125" s="256" t="e">
        <f>INDEX(#REF!,MATCH(29883458,#REF!,0),Sy_nop)</f>
        <v>#REF!</v>
      </c>
      <c r="N125" s="254" t="s">
        <v>280</v>
      </c>
      <c r="O125" s="255" t="s">
        <v>280</v>
      </c>
      <c r="P125" s="256" t="e">
        <f>INDEX(#REF!,MATCH(29883458,#REF!,0),Sy_nop)</f>
        <v>#REF!</v>
      </c>
      <c r="Q125" s="254">
        <v>2014</v>
      </c>
      <c r="R125" s="255">
        <v>2014</v>
      </c>
      <c r="S125" s="256" t="e">
        <f>INDEX(#REF!,MATCH(29883458,#REF!,0),Sy_nop)</f>
        <v>#REF!</v>
      </c>
      <c r="T125" s="254" t="e">
        <f>INDEX(#REF!,MATCH(113048160,#REF!,0),Sy_nop)</f>
        <v>#REF!</v>
      </c>
      <c r="U125" s="255" t="e">
        <f>INDEX(#REF!,MATCH(113048160,#REF!,0),Sy_nop)</f>
        <v>#REF!</v>
      </c>
      <c r="V125" s="256" t="e">
        <f>INDEX(#REF!,MATCH(29883458,#REF!,0),Sy_nop)</f>
        <v>#REF!</v>
      </c>
      <c r="W125" s="254" t="e">
        <f>INDEX(#REF!,MATCH(54739964,#REF!,0),Sy_nop)</f>
        <v>#REF!</v>
      </c>
      <c r="X125" s="255" t="e">
        <f>INDEX(#REF!,MATCH(54739964,#REF!,0),Sy_nop)</f>
        <v>#REF!</v>
      </c>
      <c r="Y125" s="256" t="e">
        <f>INDEX(#REF!,MATCH(29883458,#REF!,0),Sy_nop)</f>
        <v>#REF!</v>
      </c>
      <c r="Z125" s="254" t="s">
        <v>283</v>
      </c>
      <c r="AA125" s="255" t="s">
        <v>283</v>
      </c>
      <c r="AB125" s="256" t="e">
        <f>INDEX(#REF!,MATCH(29883458,#REF!,0),Sy_nop)</f>
        <v>#REF!</v>
      </c>
      <c r="AC125" s="254" t="e">
        <f>INDEX(#REF!,MATCH(3931748,#REF!,0),Sy_nop)</f>
        <v>#REF!</v>
      </c>
      <c r="AD125" s="255" t="e">
        <f>INDEX(#REF!,MATCH(3931748,#REF!,0),Sy_nop)</f>
        <v>#REF!</v>
      </c>
      <c r="AE125" s="256" t="s">
        <v>287</v>
      </c>
      <c r="AF125" s="254" t="s">
        <v>285</v>
      </c>
      <c r="AG125" s="255" t="s">
        <v>285</v>
      </c>
      <c r="AH125" s="256" t="e">
        <f>INDEX(#REF!,MATCH(29883458,#REF!,0),Sy_nop)</f>
        <v>#REF!</v>
      </c>
      <c r="AJ125" s="163"/>
    </row>
    <row r="126" spans="1:36" ht="15" customHeight="1" thickTop="1">
      <c r="A126" s="4" t="s">
        <v>286</v>
      </c>
      <c r="B126" s="171">
        <v>1378</v>
      </c>
      <c r="C126" s="14">
        <v>1378</v>
      </c>
      <c r="D126" s="14">
        <v>0</v>
      </c>
      <c r="E126" s="171">
        <v>434</v>
      </c>
      <c r="F126" s="14">
        <v>434</v>
      </c>
      <c r="G126" s="14">
        <v>0</v>
      </c>
      <c r="H126" s="171">
        <v>944</v>
      </c>
      <c r="I126" s="14">
        <v>944</v>
      </c>
      <c r="J126" s="14">
        <v>0</v>
      </c>
      <c r="K126" s="171">
        <v>560</v>
      </c>
      <c r="L126" s="14">
        <v>560</v>
      </c>
      <c r="M126" s="14">
        <v>0</v>
      </c>
      <c r="N126" s="171">
        <v>384</v>
      </c>
      <c r="O126" s="14">
        <v>384</v>
      </c>
      <c r="P126" s="14">
        <v>0</v>
      </c>
      <c r="Q126" s="171">
        <v>3292</v>
      </c>
      <c r="R126" s="14">
        <v>3292</v>
      </c>
      <c r="S126" s="14">
        <v>0</v>
      </c>
      <c r="T126" s="171">
        <v>667</v>
      </c>
      <c r="U126" s="14">
        <v>667</v>
      </c>
      <c r="V126" s="14">
        <v>0</v>
      </c>
      <c r="W126" s="171">
        <v>2625</v>
      </c>
      <c r="X126" s="14">
        <v>2625</v>
      </c>
      <c r="Y126" s="14">
        <v>0</v>
      </c>
      <c r="Z126" s="171">
        <v>909</v>
      </c>
      <c r="AA126" s="14">
        <v>909</v>
      </c>
      <c r="AB126" s="14">
        <v>0</v>
      </c>
      <c r="AC126" s="171">
        <v>1716</v>
      </c>
      <c r="AD126" s="14">
        <v>1716</v>
      </c>
      <c r="AE126" s="14">
        <v>0</v>
      </c>
      <c r="AF126" s="171">
        <v>736</v>
      </c>
      <c r="AG126" s="14">
        <v>736</v>
      </c>
      <c r="AH126" s="14">
        <v>0</v>
      </c>
      <c r="AJ126" s="163"/>
    </row>
    <row r="127" spans="1:36" ht="15" customHeight="1">
      <c r="A127" s="5" t="s">
        <v>188</v>
      </c>
      <c r="B127" s="171">
        <v>1268</v>
      </c>
      <c r="C127" s="14">
        <v>1268</v>
      </c>
      <c r="D127" s="14">
        <v>0</v>
      </c>
      <c r="E127" s="171">
        <v>381</v>
      </c>
      <c r="F127" s="14">
        <v>381</v>
      </c>
      <c r="G127" s="14">
        <v>0</v>
      </c>
      <c r="H127" s="171">
        <v>887</v>
      </c>
      <c r="I127" s="14">
        <v>887</v>
      </c>
      <c r="J127" s="14">
        <v>0</v>
      </c>
      <c r="K127" s="171">
        <v>509</v>
      </c>
      <c r="L127" s="14">
        <v>509</v>
      </c>
      <c r="M127" s="14">
        <v>0</v>
      </c>
      <c r="N127" s="171">
        <v>378</v>
      </c>
      <c r="O127" s="14">
        <v>378</v>
      </c>
      <c r="P127" s="14">
        <v>0</v>
      </c>
      <c r="Q127" s="171">
        <v>759</v>
      </c>
      <c r="R127" s="14">
        <v>735</v>
      </c>
      <c r="S127" s="14">
        <v>24</v>
      </c>
      <c r="T127" s="171">
        <v>-74</v>
      </c>
      <c r="U127" s="14">
        <v>-75</v>
      </c>
      <c r="V127" s="14">
        <v>0</v>
      </c>
      <c r="W127" s="171">
        <v>833</v>
      </c>
      <c r="X127" s="14">
        <v>810</v>
      </c>
      <c r="Y127" s="14">
        <v>23</v>
      </c>
      <c r="Z127" s="171">
        <v>313</v>
      </c>
      <c r="AA127" s="14">
        <v>313</v>
      </c>
      <c r="AB127" s="14">
        <v>0</v>
      </c>
      <c r="AC127" s="171">
        <v>520</v>
      </c>
      <c r="AD127" s="14">
        <v>497</v>
      </c>
      <c r="AE127" s="14">
        <v>23</v>
      </c>
      <c r="AF127" s="171">
        <v>272</v>
      </c>
      <c r="AG127" s="14">
        <v>250</v>
      </c>
      <c r="AH127" s="14">
        <v>23</v>
      </c>
      <c r="AJ127" s="163"/>
    </row>
    <row r="128" spans="1:36" ht="15" customHeight="1">
      <c r="A128" s="91" t="s">
        <v>190</v>
      </c>
      <c r="B128" s="171">
        <v>1156</v>
      </c>
      <c r="C128" s="14">
        <v>1156</v>
      </c>
      <c r="D128" s="14">
        <v>0</v>
      </c>
      <c r="E128" s="171">
        <v>370</v>
      </c>
      <c r="F128" s="14">
        <v>370</v>
      </c>
      <c r="G128" s="14">
        <v>0</v>
      </c>
      <c r="H128" s="171">
        <v>785</v>
      </c>
      <c r="I128" s="14">
        <v>785</v>
      </c>
      <c r="J128" s="14">
        <v>0</v>
      </c>
      <c r="K128" s="171">
        <v>498</v>
      </c>
      <c r="L128" s="14">
        <v>498</v>
      </c>
      <c r="M128" s="14">
        <v>0</v>
      </c>
      <c r="N128" s="171">
        <v>287</v>
      </c>
      <c r="O128" s="14">
        <v>287</v>
      </c>
      <c r="P128" s="14">
        <v>0</v>
      </c>
      <c r="Q128" s="171">
        <v>553</v>
      </c>
      <c r="R128" s="14">
        <v>530</v>
      </c>
      <c r="S128" s="14">
        <v>24</v>
      </c>
      <c r="T128" s="171">
        <v>-89</v>
      </c>
      <c r="U128" s="14">
        <v>-89</v>
      </c>
      <c r="V128" s="14">
        <v>0</v>
      </c>
      <c r="W128" s="171">
        <v>642</v>
      </c>
      <c r="X128" s="14">
        <v>619</v>
      </c>
      <c r="Y128" s="14">
        <v>23</v>
      </c>
      <c r="Z128" s="171">
        <v>269</v>
      </c>
      <c r="AA128" s="14">
        <v>269</v>
      </c>
      <c r="AB128" s="14">
        <v>0</v>
      </c>
      <c r="AC128" s="171">
        <v>372</v>
      </c>
      <c r="AD128" s="14">
        <v>350</v>
      </c>
      <c r="AE128" s="14">
        <v>23</v>
      </c>
      <c r="AF128" s="171">
        <v>210</v>
      </c>
      <c r="AG128" s="14">
        <v>187</v>
      </c>
      <c r="AH128" s="14">
        <v>23</v>
      </c>
      <c r="AJ128" s="163"/>
    </row>
    <row r="129" spans="1:36" ht="15" customHeight="1">
      <c r="A129" s="91" t="s">
        <v>191</v>
      </c>
      <c r="B129" s="171">
        <v>112</v>
      </c>
      <c r="C129" s="14">
        <v>112</v>
      </c>
      <c r="D129" s="14">
        <v>0</v>
      </c>
      <c r="E129" s="171">
        <v>11</v>
      </c>
      <c r="F129" s="14">
        <v>11</v>
      </c>
      <c r="G129" s="14">
        <v>0</v>
      </c>
      <c r="H129" s="171">
        <v>101</v>
      </c>
      <c r="I129" s="14">
        <v>101</v>
      </c>
      <c r="J129" s="14">
        <v>0</v>
      </c>
      <c r="K129" s="171">
        <v>10</v>
      </c>
      <c r="L129" s="14">
        <v>10</v>
      </c>
      <c r="M129" s="14">
        <v>0</v>
      </c>
      <c r="N129" s="171">
        <v>91</v>
      </c>
      <c r="O129" s="14">
        <v>91</v>
      </c>
      <c r="P129" s="14">
        <v>0</v>
      </c>
      <c r="Q129" s="171">
        <v>206</v>
      </c>
      <c r="R129" s="14">
        <v>206</v>
      </c>
      <c r="S129" s="14">
        <v>0</v>
      </c>
      <c r="T129" s="171">
        <v>14</v>
      </c>
      <c r="U129" s="14">
        <v>14</v>
      </c>
      <c r="V129" s="14">
        <v>0</v>
      </c>
      <c r="W129" s="171">
        <v>191</v>
      </c>
      <c r="X129" s="14">
        <v>191</v>
      </c>
      <c r="Y129" s="14">
        <v>0</v>
      </c>
      <c r="Z129" s="171">
        <v>44</v>
      </c>
      <c r="AA129" s="14">
        <v>44</v>
      </c>
      <c r="AB129" s="14">
        <v>0</v>
      </c>
      <c r="AC129" s="171">
        <v>147</v>
      </c>
      <c r="AD129" s="14">
        <v>147</v>
      </c>
      <c r="AE129" s="14">
        <v>0</v>
      </c>
      <c r="AF129" s="171">
        <v>63</v>
      </c>
      <c r="AG129" s="14">
        <v>63</v>
      </c>
      <c r="AH129" s="14">
        <v>0</v>
      </c>
      <c r="AJ129" s="163"/>
    </row>
    <row r="130" spans="1:36" ht="15" customHeight="1">
      <c r="A130" s="5" t="s">
        <v>38</v>
      </c>
      <c r="B130" s="171">
        <v>21</v>
      </c>
      <c r="C130" s="14">
        <v>21</v>
      </c>
      <c r="D130" s="14">
        <v>0</v>
      </c>
      <c r="E130" s="171">
        <v>10</v>
      </c>
      <c r="F130" s="14">
        <v>10</v>
      </c>
      <c r="G130" s="14">
        <v>0</v>
      </c>
      <c r="H130" s="171">
        <v>12</v>
      </c>
      <c r="I130" s="14">
        <v>12</v>
      </c>
      <c r="J130" s="14">
        <v>0</v>
      </c>
      <c r="K130" s="171">
        <v>18</v>
      </c>
      <c r="L130" s="14">
        <v>18</v>
      </c>
      <c r="M130" s="14">
        <v>0</v>
      </c>
      <c r="N130" s="171">
        <v>-7</v>
      </c>
      <c r="O130" s="14">
        <v>-7</v>
      </c>
      <c r="P130" s="14">
        <v>0</v>
      </c>
      <c r="Q130" s="171">
        <v>-21</v>
      </c>
      <c r="R130" s="14">
        <v>-21</v>
      </c>
      <c r="S130" s="14">
        <v>0</v>
      </c>
      <c r="T130" s="171">
        <v>-8</v>
      </c>
      <c r="U130" s="14">
        <v>-8</v>
      </c>
      <c r="V130" s="14">
        <v>0</v>
      </c>
      <c r="W130" s="171">
        <v>-13</v>
      </c>
      <c r="X130" s="14">
        <v>-13</v>
      </c>
      <c r="Y130" s="14">
        <v>0</v>
      </c>
      <c r="Z130" s="171">
        <v>-1</v>
      </c>
      <c r="AA130" s="14">
        <v>-1</v>
      </c>
      <c r="AB130" s="14">
        <v>0</v>
      </c>
      <c r="AC130" s="171">
        <v>-12</v>
      </c>
      <c r="AD130" s="14">
        <v>-12</v>
      </c>
      <c r="AE130" s="14">
        <v>0</v>
      </c>
      <c r="AF130" s="171">
        <v>-12</v>
      </c>
      <c r="AG130" s="14">
        <v>-12</v>
      </c>
      <c r="AH130" s="14">
        <v>0</v>
      </c>
      <c r="AJ130" s="163"/>
    </row>
    <row r="131" spans="1:36" ht="15" customHeight="1">
      <c r="A131" s="5" t="s">
        <v>4</v>
      </c>
      <c r="B131" s="171">
        <v>46</v>
      </c>
      <c r="C131" s="14">
        <v>46</v>
      </c>
      <c r="D131" s="14">
        <v>0</v>
      </c>
      <c r="E131" s="171">
        <v>78</v>
      </c>
      <c r="F131" s="14">
        <v>78</v>
      </c>
      <c r="G131" s="14">
        <v>0</v>
      </c>
      <c r="H131" s="171">
        <v>-32</v>
      </c>
      <c r="I131" s="14">
        <v>-32</v>
      </c>
      <c r="J131" s="14">
        <v>0</v>
      </c>
      <c r="K131" s="171">
        <v>-31</v>
      </c>
      <c r="L131" s="14">
        <v>-31</v>
      </c>
      <c r="M131" s="14">
        <v>0</v>
      </c>
      <c r="N131" s="171">
        <v>-1</v>
      </c>
      <c r="O131" s="14">
        <v>-1</v>
      </c>
      <c r="P131" s="14">
        <v>0</v>
      </c>
      <c r="Q131" s="171">
        <v>104</v>
      </c>
      <c r="R131" s="14">
        <v>104</v>
      </c>
      <c r="S131" s="14">
        <v>0</v>
      </c>
      <c r="T131" s="171">
        <v>161</v>
      </c>
      <c r="U131" s="14">
        <v>161</v>
      </c>
      <c r="V131" s="14">
        <v>0</v>
      </c>
      <c r="W131" s="171">
        <v>-57</v>
      </c>
      <c r="X131" s="14">
        <v>-57</v>
      </c>
      <c r="Y131" s="14">
        <v>0</v>
      </c>
      <c r="Z131" s="171">
        <v>-9</v>
      </c>
      <c r="AA131" s="14">
        <v>-9</v>
      </c>
      <c r="AB131" s="14">
        <v>0</v>
      </c>
      <c r="AC131" s="171">
        <v>-48</v>
      </c>
      <c r="AD131" s="14">
        <v>-48</v>
      </c>
      <c r="AE131" s="14">
        <v>0</v>
      </c>
      <c r="AF131" s="171">
        <v>-38</v>
      </c>
      <c r="AG131" s="14">
        <v>-38</v>
      </c>
      <c r="AH131" s="14">
        <v>0</v>
      </c>
      <c r="AJ131" s="163"/>
    </row>
    <row r="132" spans="1:36" ht="15" customHeight="1" thickBot="1">
      <c r="A132" s="75" t="s">
        <v>39</v>
      </c>
      <c r="B132" s="166">
        <v>2713</v>
      </c>
      <c r="C132" s="72">
        <v>2713</v>
      </c>
      <c r="D132" s="72">
        <v>0</v>
      </c>
      <c r="E132" s="166">
        <v>903</v>
      </c>
      <c r="F132" s="72">
        <v>903</v>
      </c>
      <c r="G132" s="72">
        <v>0</v>
      </c>
      <c r="H132" s="166">
        <v>1810</v>
      </c>
      <c r="I132" s="72">
        <v>1810</v>
      </c>
      <c r="J132" s="72">
        <v>0</v>
      </c>
      <c r="K132" s="166">
        <v>1056</v>
      </c>
      <c r="L132" s="72">
        <v>1056</v>
      </c>
      <c r="M132" s="72">
        <v>0</v>
      </c>
      <c r="N132" s="166">
        <v>754</v>
      </c>
      <c r="O132" s="72">
        <v>754</v>
      </c>
      <c r="P132" s="72">
        <v>0</v>
      </c>
      <c r="Q132" s="166">
        <v>4134</v>
      </c>
      <c r="R132" s="72">
        <v>4110</v>
      </c>
      <c r="S132" s="72">
        <v>24</v>
      </c>
      <c r="T132" s="166">
        <v>745</v>
      </c>
      <c r="U132" s="72">
        <v>745</v>
      </c>
      <c r="V132" s="72">
        <v>0</v>
      </c>
      <c r="W132" s="166">
        <v>3388</v>
      </c>
      <c r="X132" s="72">
        <v>3365</v>
      </c>
      <c r="Y132" s="72">
        <v>23</v>
      </c>
      <c r="Z132" s="166">
        <v>1212</v>
      </c>
      <c r="AA132" s="72">
        <v>1212</v>
      </c>
      <c r="AB132" s="72">
        <v>0</v>
      </c>
      <c r="AC132" s="166">
        <v>2176</v>
      </c>
      <c r="AD132" s="72">
        <v>2153</v>
      </c>
      <c r="AE132" s="72">
        <v>23</v>
      </c>
      <c r="AF132" s="166">
        <v>958</v>
      </c>
      <c r="AG132" s="72">
        <v>935</v>
      </c>
      <c r="AH132" s="72">
        <v>23</v>
      </c>
      <c r="AJ132" s="163"/>
    </row>
    <row r="133" spans="1:36" ht="15" customHeight="1" thickTop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J133" s="163"/>
    </row>
    <row r="134" spans="1:36" ht="15" customHeight="1">
      <c r="A134" s="174" t="s">
        <v>290</v>
      </c>
    </row>
  </sheetData>
  <pageMargins left="0.70866141732283472" right="0.70866141732283472" top="0.78740157480314965" bottom="0.78740157480314965" header="0.31496062992125984" footer="0.31496062992125984"/>
  <pageSetup paperSize="9" scale="60" fitToHeight="2" orientation="landscape" r:id="rId1"/>
  <rowBreaks count="2" manualBreakCount="2">
    <brk id="49" max="16383" man="1"/>
    <brk id="109" max="16383" man="1"/>
  </rowBreaks>
  <colBreaks count="3" manualBreakCount="3">
    <brk id="10" max="1048575" man="1"/>
    <brk id="19" max="1048575" man="1"/>
    <brk id="28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</sheetPr>
  <dimension ref="A1:AM205"/>
  <sheetViews>
    <sheetView zoomScale="90" zoomScaleNormal="90" workbookViewId="0">
      <pane xSplit="6" ySplit="8" topLeftCell="G9" activePane="bottomRight" state="frozen"/>
      <selection activeCell="D35" sqref="D35"/>
      <selection pane="topRight" activeCell="D35" sqref="D35"/>
      <selection pane="bottomLeft" activeCell="D35" sqref="D35"/>
      <selection pane="bottomRight" activeCell="D35" sqref="D35"/>
    </sheetView>
  </sheetViews>
  <sheetFormatPr defaultColWidth="11.42578125" defaultRowHeight="15" customHeight="1"/>
  <cols>
    <col min="1" max="1" width="21" customWidth="1"/>
    <col min="2" max="2" width="15.28515625" customWidth="1"/>
    <col min="4" max="4" width="6" customWidth="1"/>
    <col min="5" max="5" width="28.85546875" style="165" customWidth="1"/>
    <col min="6" max="6" width="49.85546875" customWidth="1"/>
    <col min="7" max="39" width="11.42578125" customWidth="1"/>
  </cols>
  <sheetData>
    <row r="1" spans="1:39" s="229" customFormat="1" ht="15" customHeight="1">
      <c r="A1" s="232" t="s">
        <v>378</v>
      </c>
      <c r="B1" s="231" t="s">
        <v>377</v>
      </c>
      <c r="E1" s="230"/>
      <c r="G1" s="226" t="s">
        <v>131</v>
      </c>
      <c r="H1" s="169" t="s">
        <v>376</v>
      </c>
      <c r="I1" s="226"/>
      <c r="J1" s="226" t="s">
        <v>131</v>
      </c>
      <c r="K1" s="169" t="s">
        <v>376</v>
      </c>
      <c r="L1" s="226"/>
      <c r="M1" s="226" t="s">
        <v>131</v>
      </c>
      <c r="N1" s="169" t="s">
        <v>376</v>
      </c>
      <c r="O1" s="226"/>
      <c r="P1" s="226" t="s">
        <v>131</v>
      </c>
      <c r="Q1" s="169" t="s">
        <v>376</v>
      </c>
      <c r="R1" s="226"/>
      <c r="S1" s="226" t="s">
        <v>131</v>
      </c>
      <c r="T1" s="169" t="s">
        <v>376</v>
      </c>
      <c r="U1" s="226"/>
      <c r="V1" s="226" t="s">
        <v>131</v>
      </c>
      <c r="W1" s="169" t="s">
        <v>376</v>
      </c>
      <c r="X1" s="226"/>
      <c r="Y1" s="226" t="s">
        <v>131</v>
      </c>
      <c r="Z1" s="169" t="s">
        <v>376</v>
      </c>
      <c r="AA1" s="226"/>
      <c r="AB1" s="226" t="s">
        <v>131</v>
      </c>
      <c r="AC1" s="169" t="s">
        <v>376</v>
      </c>
      <c r="AD1" s="226"/>
      <c r="AE1" s="226" t="s">
        <v>131</v>
      </c>
      <c r="AF1" s="169" t="s">
        <v>376</v>
      </c>
      <c r="AG1" s="226"/>
      <c r="AH1" s="226" t="s">
        <v>131</v>
      </c>
      <c r="AI1" s="169" t="s">
        <v>376</v>
      </c>
      <c r="AJ1" s="226"/>
      <c r="AK1" s="226" t="s">
        <v>131</v>
      </c>
      <c r="AL1" s="169" t="s">
        <v>376</v>
      </c>
      <c r="AM1" s="226"/>
    </row>
    <row r="2" spans="1:39" ht="15" customHeight="1">
      <c r="G2" s="228">
        <v>2015</v>
      </c>
      <c r="H2" s="228">
        <v>2015</v>
      </c>
      <c r="I2" s="228"/>
      <c r="J2" s="228">
        <v>2015</v>
      </c>
      <c r="K2" s="228">
        <v>2015</v>
      </c>
      <c r="L2" s="228"/>
      <c r="M2" s="228">
        <v>2015</v>
      </c>
      <c r="N2" s="228">
        <v>2015</v>
      </c>
      <c r="O2" s="228"/>
      <c r="P2" s="228">
        <v>2015</v>
      </c>
      <c r="Q2" s="228">
        <v>2015</v>
      </c>
      <c r="R2" s="228"/>
      <c r="S2" s="228">
        <v>2015</v>
      </c>
      <c r="T2" s="228">
        <v>2015</v>
      </c>
      <c r="U2" s="228"/>
      <c r="V2" s="228">
        <v>2014</v>
      </c>
      <c r="W2" s="228">
        <v>2014</v>
      </c>
      <c r="X2" s="228"/>
      <c r="Y2" s="228">
        <v>2014</v>
      </c>
      <c r="Z2" s="228">
        <v>2014</v>
      </c>
      <c r="AA2" s="228"/>
      <c r="AB2" s="228">
        <v>2014</v>
      </c>
      <c r="AC2" s="228">
        <v>2014</v>
      </c>
      <c r="AD2" s="228"/>
      <c r="AE2" s="228">
        <v>2014</v>
      </c>
      <c r="AF2" s="228">
        <v>2014</v>
      </c>
      <c r="AG2" s="228"/>
      <c r="AH2" s="228">
        <v>2014</v>
      </c>
      <c r="AI2" s="228">
        <v>2014</v>
      </c>
      <c r="AJ2" s="228"/>
      <c r="AK2" s="228">
        <v>2014</v>
      </c>
      <c r="AL2" s="228">
        <v>2014</v>
      </c>
      <c r="AM2" s="228"/>
    </row>
    <row r="3" spans="1:39" ht="15" customHeight="1">
      <c r="A3" s="227"/>
      <c r="G3" s="226" t="s">
        <v>372</v>
      </c>
      <c r="H3" s="226" t="s">
        <v>372</v>
      </c>
      <c r="I3" s="226"/>
      <c r="J3" s="226" t="s">
        <v>371</v>
      </c>
      <c r="K3" s="226" t="s">
        <v>371</v>
      </c>
      <c r="L3" s="226"/>
      <c r="M3" s="226" t="s">
        <v>370</v>
      </c>
      <c r="N3" s="226" t="s">
        <v>370</v>
      </c>
      <c r="O3" s="226"/>
      <c r="P3" s="226" t="s">
        <v>369</v>
      </c>
      <c r="Q3" s="226" t="s">
        <v>369</v>
      </c>
      <c r="R3" s="226"/>
      <c r="S3" s="226" t="s">
        <v>375</v>
      </c>
      <c r="T3" s="226" t="s">
        <v>375</v>
      </c>
      <c r="U3" s="226"/>
      <c r="V3" s="226" t="s">
        <v>374</v>
      </c>
      <c r="W3" s="226" t="s">
        <v>374</v>
      </c>
      <c r="X3" s="226"/>
      <c r="Y3" s="226" t="s">
        <v>373</v>
      </c>
      <c r="Z3" s="226" t="s">
        <v>373</v>
      </c>
      <c r="AA3" s="226"/>
      <c r="AB3" s="226" t="s">
        <v>372</v>
      </c>
      <c r="AC3" s="226" t="s">
        <v>372</v>
      </c>
      <c r="AD3" s="226"/>
      <c r="AE3" s="226" t="s">
        <v>371</v>
      </c>
      <c r="AF3" s="226" t="s">
        <v>371</v>
      </c>
      <c r="AG3" s="226"/>
      <c r="AH3" s="226" t="s">
        <v>370</v>
      </c>
      <c r="AI3" s="226" t="s">
        <v>370</v>
      </c>
      <c r="AJ3" s="226"/>
      <c r="AK3" s="226" t="s">
        <v>369</v>
      </c>
      <c r="AL3" s="226" t="s">
        <v>369</v>
      </c>
      <c r="AM3" s="226"/>
    </row>
    <row r="5" spans="1:39" ht="15" customHeight="1">
      <c r="F5" s="1" t="s">
        <v>273</v>
      </c>
    </row>
    <row r="6" spans="1:39" ht="15" customHeight="1">
      <c r="F6" s="40" t="s">
        <v>23</v>
      </c>
    </row>
    <row r="7" spans="1:39" ht="30" customHeight="1">
      <c r="G7" s="225" t="s">
        <v>274</v>
      </c>
      <c r="H7" s="149" t="s">
        <v>171</v>
      </c>
      <c r="I7" s="150" t="s">
        <v>275</v>
      </c>
      <c r="J7" s="225" t="s">
        <v>274</v>
      </c>
      <c r="K7" s="149" t="s">
        <v>171</v>
      </c>
      <c r="L7" s="150" t="s">
        <v>275</v>
      </c>
      <c r="M7" s="225" t="s">
        <v>274</v>
      </c>
      <c r="N7" s="149" t="s">
        <v>171</v>
      </c>
      <c r="O7" s="150" t="s">
        <v>275</v>
      </c>
      <c r="P7" s="225" t="s">
        <v>274</v>
      </c>
      <c r="Q7" s="149" t="s">
        <v>171</v>
      </c>
      <c r="R7" s="150" t="s">
        <v>275</v>
      </c>
      <c r="S7" s="225" t="s">
        <v>274</v>
      </c>
      <c r="T7" s="149" t="s">
        <v>171</v>
      </c>
      <c r="U7" s="150" t="s">
        <v>275</v>
      </c>
      <c r="V7" s="225" t="s">
        <v>274</v>
      </c>
      <c r="W7" s="149" t="s">
        <v>171</v>
      </c>
      <c r="X7" s="150" t="s">
        <v>275</v>
      </c>
      <c r="Y7" s="225" t="s">
        <v>274</v>
      </c>
      <c r="Z7" s="149" t="s">
        <v>171</v>
      </c>
      <c r="AA7" s="150" t="s">
        <v>275</v>
      </c>
      <c r="AB7" s="225" t="s">
        <v>274</v>
      </c>
      <c r="AC7" s="149" t="s">
        <v>171</v>
      </c>
      <c r="AD7" s="150" t="s">
        <v>275</v>
      </c>
      <c r="AE7" s="225" t="s">
        <v>274</v>
      </c>
      <c r="AF7" s="149" t="s">
        <v>171</v>
      </c>
      <c r="AG7" s="150" t="s">
        <v>275</v>
      </c>
      <c r="AH7" s="225" t="s">
        <v>274</v>
      </c>
      <c r="AI7" s="149" t="s">
        <v>171</v>
      </c>
      <c r="AJ7" s="150" t="s">
        <v>275</v>
      </c>
      <c r="AK7" s="225" t="s">
        <v>274</v>
      </c>
      <c r="AL7" s="149" t="s">
        <v>171</v>
      </c>
      <c r="AM7" s="150" t="s">
        <v>275</v>
      </c>
    </row>
    <row r="8" spans="1:39" ht="15" customHeight="1" thickBot="1">
      <c r="F8" s="87" t="s">
        <v>287</v>
      </c>
      <c r="G8" s="224" t="s">
        <v>276</v>
      </c>
      <c r="H8" s="151" t="s">
        <v>276</v>
      </c>
      <c r="I8" s="152" t="s">
        <v>287</v>
      </c>
      <c r="J8" s="224" t="s">
        <v>277</v>
      </c>
      <c r="K8" s="151" t="s">
        <v>277</v>
      </c>
      <c r="L8" s="152" t="s">
        <v>287</v>
      </c>
      <c r="M8" s="224" t="s">
        <v>278</v>
      </c>
      <c r="N8" s="151" t="s">
        <v>278</v>
      </c>
      <c r="O8" s="152" t="s">
        <v>287</v>
      </c>
      <c r="P8" s="224" t="s">
        <v>279</v>
      </c>
      <c r="Q8" s="151" t="s">
        <v>279</v>
      </c>
      <c r="R8" s="152" t="s">
        <v>287</v>
      </c>
      <c r="S8" s="224" t="s">
        <v>280</v>
      </c>
      <c r="T8" s="151" t="s">
        <v>280</v>
      </c>
      <c r="U8" s="152" t="s">
        <v>287</v>
      </c>
      <c r="V8" s="224">
        <v>2014</v>
      </c>
      <c r="W8" s="151">
        <v>2014</v>
      </c>
      <c r="X8" s="152" t="s">
        <v>287</v>
      </c>
      <c r="Y8" s="224" t="s">
        <v>281</v>
      </c>
      <c r="Z8" s="151" t="s">
        <v>281</v>
      </c>
      <c r="AA8" s="152" t="s">
        <v>287</v>
      </c>
      <c r="AB8" s="224" t="s">
        <v>282</v>
      </c>
      <c r="AC8" s="151" t="s">
        <v>282</v>
      </c>
      <c r="AD8" s="152" t="s">
        <v>287</v>
      </c>
      <c r="AE8" s="224" t="s">
        <v>283</v>
      </c>
      <c r="AF8" s="151" t="s">
        <v>283</v>
      </c>
      <c r="AG8" s="152" t="s">
        <v>287</v>
      </c>
      <c r="AH8" s="224" t="s">
        <v>284</v>
      </c>
      <c r="AI8" s="151" t="s">
        <v>284</v>
      </c>
      <c r="AJ8" s="152" t="s">
        <v>287</v>
      </c>
      <c r="AK8" s="224" t="s">
        <v>285</v>
      </c>
      <c r="AL8" s="151" t="s">
        <v>285</v>
      </c>
      <c r="AM8" s="152" t="s">
        <v>287</v>
      </c>
    </row>
    <row r="9" spans="1:39" ht="15" customHeight="1" thickTop="1">
      <c r="A9" s="170" t="s">
        <v>328</v>
      </c>
      <c r="B9" s="169" t="s">
        <v>337</v>
      </c>
      <c r="C9" s="168" t="s">
        <v>133</v>
      </c>
      <c r="D9" s="168">
        <v>1</v>
      </c>
      <c r="E9" s="167" t="str">
        <f ca="1">_xll.DBRA("mfc:skz",B9,"Group")</f>
        <v>Group sales w/o petroleum tax</v>
      </c>
      <c r="F9" s="65" t="s">
        <v>317</v>
      </c>
      <c r="G9" s="223" t="e">
        <f ca="1">_xll.DBRW($A$1,$C9,$B9,G$3,G$1,G$2,$A9)*$D9</f>
        <v>#VALUE!</v>
      </c>
      <c r="H9" s="64" t="e">
        <f ca="1">_xll.DBRW($A$1,$C9,$B9,H$3,H$1,H$2,$A9)*$D9</f>
        <v>#VALUE!</v>
      </c>
      <c r="I9" s="64" t="e">
        <f t="shared" ref="I9:I41" ca="1" si="0">+G9-H9</f>
        <v>#VALUE!</v>
      </c>
      <c r="J9" s="218" t="e">
        <f ca="1">_xll.DBRW($A$1,$C9,$B9,J$3,J$1,J$2,$A9)*$D9</f>
        <v>#VALUE!</v>
      </c>
      <c r="K9" s="64" t="e">
        <f ca="1">_xll.DBRW($A$1,$C9,$B9,K$3,K$1,K$2,$A9)*$D9</f>
        <v>#VALUE!</v>
      </c>
      <c r="L9" s="64" t="e">
        <f t="shared" ref="L9:L40" ca="1" si="1">+J9-K9</f>
        <v>#VALUE!</v>
      </c>
      <c r="M9" s="218" t="e">
        <f ca="1">_xll.DBRW($A$1,$C9,$B9,M$3,M$1,M$2,$A9)*$D9</f>
        <v>#VALUE!</v>
      </c>
      <c r="N9" s="64" t="e">
        <f ca="1">_xll.DBRW($A$1,$C9,$B9,N$3,N$1,N$2,$A9)*$D9</f>
        <v>#VALUE!</v>
      </c>
      <c r="O9" s="64" t="e">
        <f t="shared" ref="O9:O46" ca="1" si="2">+M9-N9</f>
        <v>#VALUE!</v>
      </c>
      <c r="P9" s="218" t="e">
        <f ca="1">_xll.DBRW($A$1,$C9,$B9,P$3,P$1,P$2,$A9)*$D9</f>
        <v>#VALUE!</v>
      </c>
      <c r="Q9" s="64" t="e">
        <f ca="1">_xll.DBRW($A$1,$C9,$B9,Q$3,Q$1,Q$2,$A9)*$D9</f>
        <v>#VALUE!</v>
      </c>
      <c r="R9" s="64" t="e">
        <f t="shared" ref="R9:R40" ca="1" si="3">+P9-Q9</f>
        <v>#VALUE!</v>
      </c>
      <c r="S9" s="218" t="e">
        <f ca="1">_xll.DBRW($A$1,$C9,$B9,S$3,S$1,S$2,$A9)*$D9</f>
        <v>#VALUE!</v>
      </c>
      <c r="T9" s="64" t="e">
        <f ca="1">_xll.DBRW($A$1,$C9,$B9,T$3,T$1,T$2,$A9)*$D9</f>
        <v>#VALUE!</v>
      </c>
      <c r="U9" s="64" t="e">
        <f t="shared" ref="U9:U46" ca="1" si="4">+S9-T9</f>
        <v>#VALUE!</v>
      </c>
      <c r="V9" s="218" t="e">
        <f ca="1">_xll.DBRW($A$1,$C9,$B9,V$3,V$1,V$2,$A9)*$D9</f>
        <v>#VALUE!</v>
      </c>
      <c r="W9" s="64" t="e">
        <f ca="1">_xll.DBRW($A$1,$C9,$B9,W$3,W$1,W$2,$A9)*$D9</f>
        <v>#VALUE!</v>
      </c>
      <c r="X9" s="64" t="e">
        <f t="shared" ref="X9:X46" ca="1" si="5">+V9-W9</f>
        <v>#VALUE!</v>
      </c>
      <c r="Y9" s="218" t="e">
        <f ca="1">_xll.DBRW($A$1,$C9,$B9,Y$3,Y$1,Y$2,$A9)*$D9</f>
        <v>#VALUE!</v>
      </c>
      <c r="Z9" s="64" t="e">
        <f ca="1">_xll.DBRW($A$1,$C9,$B9,Z$3,Z$1,Z$2,$A9)*$D9</f>
        <v>#VALUE!</v>
      </c>
      <c r="AA9" s="64" t="e">
        <f t="shared" ref="AA9:AA40" ca="1" si="6">+Y9-Z9</f>
        <v>#VALUE!</v>
      </c>
      <c r="AB9" s="218" t="e">
        <f ca="1">_xll.DBRW($A$1,$C9,$B9,AB$3,AB$1,AB$2,$A9)*$D9</f>
        <v>#VALUE!</v>
      </c>
      <c r="AC9" s="64" t="e">
        <f ca="1">_xll.DBRW($A$1,$C9,$B9,AC$3,AC$1,AC$2,$A9)*$D9</f>
        <v>#VALUE!</v>
      </c>
      <c r="AD9" s="64" t="e">
        <f t="shared" ref="AD9:AD46" ca="1" si="7">+AB9-AC9</f>
        <v>#VALUE!</v>
      </c>
      <c r="AE9" s="218" t="e">
        <f ca="1">_xll.DBRW($A$1,$C9,$B9,AE$3,AE$1,AE$2,$A9)*$D9</f>
        <v>#VALUE!</v>
      </c>
      <c r="AF9" s="64" t="e">
        <f ca="1">_xll.DBRW($A$1,$C9,$B9,AF$3,AF$1,AF$2,$A9)*$D9</f>
        <v>#VALUE!</v>
      </c>
      <c r="AG9" s="64" t="e">
        <f t="shared" ref="AG9:AG40" ca="1" si="8">+AE9-AF9</f>
        <v>#VALUE!</v>
      </c>
      <c r="AH9" s="218" t="e">
        <f ca="1">_xll.DBRW($A$1,$C9,$B9,AH$3,AH$1,AH$2,$A9)*$D9</f>
        <v>#VALUE!</v>
      </c>
      <c r="AI9" s="64" t="e">
        <f ca="1">_xll.DBRW($A$1,$C9,$B9,AI$3,AI$1,AI$2,$A9)*$D9</f>
        <v>#VALUE!</v>
      </c>
      <c r="AJ9" s="64" t="e">
        <f t="shared" ref="AJ9:AJ46" ca="1" si="9">+AH9-AI9</f>
        <v>#VALUE!</v>
      </c>
      <c r="AK9" s="218" t="e">
        <f ca="1">_xll.DBRW($A$1,$C9,$B9,AK$3,AK$1,AK$2,$A9)*$D9</f>
        <v>#VALUE!</v>
      </c>
      <c r="AL9" s="64" t="e">
        <f ca="1">_xll.DBRW($A$1,$C9,$B9,AL$3,AL$1,AL$2,$A9)*$D9</f>
        <v>#VALUE!</v>
      </c>
      <c r="AM9" s="64" t="e">
        <f t="shared" ref="AM9:AM40" ca="1" si="10">+AK9-AL9</f>
        <v>#VALUE!</v>
      </c>
    </row>
    <row r="10" spans="1:39" ht="15" customHeight="1">
      <c r="A10" s="170" t="s">
        <v>325</v>
      </c>
      <c r="B10" s="169" t="s">
        <v>334</v>
      </c>
      <c r="C10" s="168" t="s">
        <v>133</v>
      </c>
      <c r="D10" s="168">
        <v>1</v>
      </c>
      <c r="E10" s="167" t="str">
        <f ca="1">_xll.DBRA("mfc:skz",B10,"Group")</f>
        <v>EBIT</v>
      </c>
      <c r="F10" s="65" t="s">
        <v>316</v>
      </c>
      <c r="G10" s="218" t="e">
        <f ca="1">_xll.DBRW($A$1,$C10,$B10,G$3,G$1,G$2,$A10)*$D10</f>
        <v>#VALUE!</v>
      </c>
      <c r="H10" s="64" t="e">
        <f ca="1">_xll.DBRW($A$1,$C10,$B10,H$3,H$1,H$2,$A10)*$D10</f>
        <v>#VALUE!</v>
      </c>
      <c r="I10" s="64" t="e">
        <f t="shared" ca="1" si="0"/>
        <v>#VALUE!</v>
      </c>
      <c r="J10" s="218" t="e">
        <f ca="1">_xll.DBRW($A$1,$C10,$B10,J$3,J$1,J$2,$A10)*$D10</f>
        <v>#VALUE!</v>
      </c>
      <c r="K10" s="64" t="e">
        <f ca="1">_xll.DBRW($A$1,$C10,$B10,K$3,K$1,K$2,$A10)*$D10</f>
        <v>#VALUE!</v>
      </c>
      <c r="L10" s="64" t="e">
        <f t="shared" ca="1" si="1"/>
        <v>#VALUE!</v>
      </c>
      <c r="M10" s="218" t="e">
        <f ca="1">_xll.DBRW($A$1,$C10,$B10,M$3,M$1,M$2,$A10)*$D10</f>
        <v>#VALUE!</v>
      </c>
      <c r="N10" s="64" t="e">
        <f ca="1">_xll.DBRW($A$1,$C10,$B10,N$3,N$1,N$2,$A10)*$D10</f>
        <v>#VALUE!</v>
      </c>
      <c r="O10" s="64" t="e">
        <f t="shared" ca="1" si="2"/>
        <v>#VALUE!</v>
      </c>
      <c r="P10" s="218" t="e">
        <f ca="1">_xll.DBRW($A$1,$C10,$B10,P$3,P$1,P$2,$A10)*$D10</f>
        <v>#VALUE!</v>
      </c>
      <c r="Q10" s="64" t="e">
        <f ca="1">_xll.DBRW($A$1,$C10,$B10,Q$3,Q$1,Q$2,$A10)*$D10</f>
        <v>#VALUE!</v>
      </c>
      <c r="R10" s="64" t="e">
        <f t="shared" ca="1" si="3"/>
        <v>#VALUE!</v>
      </c>
      <c r="S10" s="218" t="e">
        <f ca="1">_xll.DBRW($A$1,$C10,$B10,S$3,S$1,S$2,$A10)*$D10</f>
        <v>#VALUE!</v>
      </c>
      <c r="T10" s="64" t="e">
        <f ca="1">_xll.DBRW($A$1,$C10,$B10,T$3,T$1,T$2,$A10)*$D10</f>
        <v>#VALUE!</v>
      </c>
      <c r="U10" s="64" t="e">
        <f t="shared" ca="1" si="4"/>
        <v>#VALUE!</v>
      </c>
      <c r="V10" s="218" t="e">
        <f ca="1">_xll.DBRW($A$1,$C10,$B10,V$3,V$1,V$2,$A10)*$D10</f>
        <v>#VALUE!</v>
      </c>
      <c r="W10" s="64" t="e">
        <f ca="1">_xll.DBRW($A$1,$C10,$B10,W$3,W$1,W$2,$A10)*$D10</f>
        <v>#VALUE!</v>
      </c>
      <c r="X10" s="64" t="e">
        <f t="shared" ca="1" si="5"/>
        <v>#VALUE!</v>
      </c>
      <c r="Y10" s="218" t="e">
        <f ca="1">_xll.DBRW($A$1,$C10,$B10,Y$3,Y$1,Y$2,$A10)*$D10</f>
        <v>#VALUE!</v>
      </c>
      <c r="Z10" s="64" t="e">
        <f ca="1">_xll.DBRW($A$1,$C10,$B10,Z$3,Z$1,Z$2,$A10)*$D10</f>
        <v>#VALUE!</v>
      </c>
      <c r="AA10" s="64" t="e">
        <f t="shared" ca="1" si="6"/>
        <v>#VALUE!</v>
      </c>
      <c r="AB10" s="218" t="e">
        <f ca="1">_xll.DBRW($A$1,$C10,$B10,AB$3,AB$1,AB$2,$A10)*$D10</f>
        <v>#VALUE!</v>
      </c>
      <c r="AC10" s="64" t="e">
        <f ca="1">_xll.DBRW($A$1,$C10,$B10,AC$3,AC$1,AC$2,$A10)*$D10</f>
        <v>#VALUE!</v>
      </c>
      <c r="AD10" s="64" t="e">
        <f t="shared" ca="1" si="7"/>
        <v>#VALUE!</v>
      </c>
      <c r="AE10" s="218" t="e">
        <f ca="1">_xll.DBRW($A$1,$C10,$B10,AE$3,AE$1,AE$2,$A10)*$D10</f>
        <v>#VALUE!</v>
      </c>
      <c r="AF10" s="64" t="e">
        <f ca="1">_xll.DBRW($A$1,$C10,$B10,AF$3,AF$1,AF$2,$A10)*$D10</f>
        <v>#VALUE!</v>
      </c>
      <c r="AG10" s="64" t="e">
        <f t="shared" ca="1" si="8"/>
        <v>#VALUE!</v>
      </c>
      <c r="AH10" s="218" t="e">
        <f ca="1">_xll.DBRW($A$1,$C10,$B10,AH$3,AH$1,AH$2,$A10)*$D10</f>
        <v>#VALUE!</v>
      </c>
      <c r="AI10" s="64" t="e">
        <f ca="1">_xll.DBRW($A$1,$C10,$B10,AI$3,AI$1,AI$2,$A10)*$D10</f>
        <v>#VALUE!</v>
      </c>
      <c r="AJ10" s="64" t="e">
        <f t="shared" ca="1" si="9"/>
        <v>#VALUE!</v>
      </c>
      <c r="AK10" s="218" t="e">
        <f ca="1">_xll.DBRW($A$1,$C10,$B10,AK$3,AK$1,AK$2,$A10)*$D10</f>
        <v>#VALUE!</v>
      </c>
      <c r="AL10" s="64" t="e">
        <f ca="1">_xll.DBRW($A$1,$C10,$B10,AL$3,AL$1,AL$2,$A10)*$D10</f>
        <v>#VALUE!</v>
      </c>
      <c r="AM10" s="64" t="e">
        <f t="shared" ca="1" si="10"/>
        <v>#VALUE!</v>
      </c>
    </row>
    <row r="11" spans="1:39" ht="15" customHeight="1">
      <c r="A11" s="170" t="s">
        <v>324</v>
      </c>
      <c r="B11" s="169" t="s">
        <v>334</v>
      </c>
      <c r="C11" s="168" t="s">
        <v>133</v>
      </c>
      <c r="D11" s="168">
        <v>1</v>
      </c>
      <c r="E11" s="167" t="str">
        <f ca="1">_xll.DBRA("mfc:skz",B11,"Group")</f>
        <v>EBIT</v>
      </c>
      <c r="F11" s="187" t="s">
        <v>186</v>
      </c>
      <c r="G11" s="171" t="e">
        <f ca="1">_xll.DBRW($A$1,$C11,$B11,G$3,G$1,G$2,$A11)*$D11</f>
        <v>#VALUE!</v>
      </c>
      <c r="H11" s="25" t="e">
        <f ca="1">_xll.DBRW($A$1,$C11,$B11,H$3,H$1,H$2,$A11)*$D11</f>
        <v>#VALUE!</v>
      </c>
      <c r="I11" s="25" t="e">
        <f t="shared" ca="1" si="0"/>
        <v>#VALUE!</v>
      </c>
      <c r="J11" s="171" t="e">
        <f ca="1">_xll.DBRW($A$1,$C11,$B11,J$3,J$1,J$2,$A11)*$D11</f>
        <v>#VALUE!</v>
      </c>
      <c r="K11" s="25" t="e">
        <f ca="1">_xll.DBRW($A$1,$C11,$B11,K$3,K$1,K$2,$A11)*$D11</f>
        <v>#VALUE!</v>
      </c>
      <c r="L11" s="25" t="e">
        <f t="shared" ca="1" si="1"/>
        <v>#VALUE!</v>
      </c>
      <c r="M11" s="171" t="e">
        <f ca="1">_xll.DBRW($A$1,$C11,$B11,M$3,M$1,M$2,$A11)*$D11</f>
        <v>#VALUE!</v>
      </c>
      <c r="N11" s="25" t="e">
        <f ca="1">_xll.DBRW($A$1,$C11,$B11,N$3,N$1,N$2,$A11)*$D11</f>
        <v>#VALUE!</v>
      </c>
      <c r="O11" s="25" t="e">
        <f t="shared" ca="1" si="2"/>
        <v>#VALUE!</v>
      </c>
      <c r="P11" s="171" t="e">
        <f ca="1">_xll.DBRW($A$1,$C11,$B11,P$3,P$1,P$2,$A11)*$D11</f>
        <v>#VALUE!</v>
      </c>
      <c r="Q11" s="25" t="e">
        <f ca="1">_xll.DBRW($A$1,$C11,$B11,Q$3,Q$1,Q$2,$A11)*$D11</f>
        <v>#VALUE!</v>
      </c>
      <c r="R11" s="25" t="e">
        <f t="shared" ca="1" si="3"/>
        <v>#VALUE!</v>
      </c>
      <c r="S11" s="171" t="e">
        <f ca="1">_xll.DBRW($A$1,$C11,$B11,S$3,S$1,S$2,$A11)*$D11</f>
        <v>#VALUE!</v>
      </c>
      <c r="T11" s="25" t="e">
        <f ca="1">_xll.DBRW($A$1,$C11,$B11,T$3,T$1,T$2,$A11)*$D11</f>
        <v>#VALUE!</v>
      </c>
      <c r="U11" s="25" t="e">
        <f t="shared" ca="1" si="4"/>
        <v>#VALUE!</v>
      </c>
      <c r="V11" s="171" t="e">
        <f ca="1">_xll.DBRW($A$1,$C11,$B11,V$3,V$1,V$2,$A11)*$D11</f>
        <v>#VALUE!</v>
      </c>
      <c r="W11" s="25" t="e">
        <f ca="1">_xll.DBRW($A$1,$C11,$B11,W$3,W$1,W$2,$A11)*$D11</f>
        <v>#VALUE!</v>
      </c>
      <c r="X11" s="25" t="e">
        <f t="shared" ca="1" si="5"/>
        <v>#VALUE!</v>
      </c>
      <c r="Y11" s="171" t="e">
        <f ca="1">_xll.DBRW($A$1,$C11,$B11,Y$3,Y$1,Y$2,$A11)*$D11</f>
        <v>#VALUE!</v>
      </c>
      <c r="Z11" s="25" t="e">
        <f ca="1">_xll.DBRW($A$1,$C11,$B11,Z$3,Z$1,Z$2,$A11)*$D11</f>
        <v>#VALUE!</v>
      </c>
      <c r="AA11" s="25" t="e">
        <f t="shared" ca="1" si="6"/>
        <v>#VALUE!</v>
      </c>
      <c r="AB11" s="171" t="e">
        <f ca="1">_xll.DBRW($A$1,$C11,$B11,AB$3,AB$1,AB$2,$A11)*$D11</f>
        <v>#VALUE!</v>
      </c>
      <c r="AC11" s="25" t="e">
        <f ca="1">_xll.DBRW($A$1,$C11,$B11,AC$3,AC$1,AC$2,$A11)*$D11</f>
        <v>#VALUE!</v>
      </c>
      <c r="AD11" s="25" t="e">
        <f t="shared" ca="1" si="7"/>
        <v>#VALUE!</v>
      </c>
      <c r="AE11" s="171" t="e">
        <f ca="1">_xll.DBRW($A$1,$C11,$B11,AE$3,AE$1,AE$2,$A11)*$D11</f>
        <v>#VALUE!</v>
      </c>
      <c r="AF11" s="25" t="e">
        <f ca="1">_xll.DBRW($A$1,$C11,$B11,AF$3,AF$1,AF$2,$A11)*$D11</f>
        <v>#VALUE!</v>
      </c>
      <c r="AG11" s="25" t="e">
        <f t="shared" ca="1" si="8"/>
        <v>#VALUE!</v>
      </c>
      <c r="AH11" s="171" t="e">
        <f ca="1">_xll.DBRW($A$1,$C11,$B11,AH$3,AH$1,AH$2,$A11)*$D11</f>
        <v>#VALUE!</v>
      </c>
      <c r="AI11" s="25" t="e">
        <f ca="1">_xll.DBRW($A$1,$C11,$B11,AI$3,AI$1,AI$2,$A11)*$D11</f>
        <v>#VALUE!</v>
      </c>
      <c r="AJ11" s="25" t="e">
        <f t="shared" ca="1" si="9"/>
        <v>#VALUE!</v>
      </c>
      <c r="AK11" s="171" t="e">
        <f ca="1">_xll.DBRW($A$1,$C11,$B11,AK$3,AK$1,AK$2,$A11)*$D11</f>
        <v>#VALUE!</v>
      </c>
      <c r="AL11" s="25" t="e">
        <f ca="1">_xll.DBRW($A$1,$C11,$B11,AL$3,AL$1,AL$2,$A11)*$D11</f>
        <v>#VALUE!</v>
      </c>
      <c r="AM11" s="25" t="e">
        <f t="shared" ca="1" si="10"/>
        <v>#VALUE!</v>
      </c>
    </row>
    <row r="12" spans="1:39" ht="15" customHeight="1">
      <c r="A12" s="170" t="s">
        <v>321</v>
      </c>
      <c r="B12" s="169" t="s">
        <v>334</v>
      </c>
      <c r="C12" s="168" t="s">
        <v>133</v>
      </c>
      <c r="D12" s="168">
        <v>1</v>
      </c>
      <c r="E12" s="167" t="str">
        <f ca="1">_xll.DBRA("mfc:skz",B12,"Group")</f>
        <v>EBIT</v>
      </c>
      <c r="F12" s="27" t="s">
        <v>3</v>
      </c>
      <c r="G12" s="171" t="e">
        <f ca="1">_xll.DBRW($A$1,$C12,$B12,G$3,G$1,G$2,$A12)*$D12</f>
        <v>#VALUE!</v>
      </c>
      <c r="H12" s="25" t="e">
        <f ca="1">_xll.DBRW($A$1,$C12,$B12,H$3,H$1,H$2,$A12)*$D12</f>
        <v>#VALUE!</v>
      </c>
      <c r="I12" s="25" t="e">
        <f t="shared" ca="1" si="0"/>
        <v>#VALUE!</v>
      </c>
      <c r="J12" s="171" t="e">
        <f ca="1">_xll.DBRW($A$1,$C12,$B12,J$3,J$1,J$2,$A12)*$D12</f>
        <v>#VALUE!</v>
      </c>
      <c r="K12" s="25" t="e">
        <f ca="1">_xll.DBRW($A$1,$C12,$B12,K$3,K$1,K$2,$A12)*$D12</f>
        <v>#VALUE!</v>
      </c>
      <c r="L12" s="25" t="e">
        <f t="shared" ca="1" si="1"/>
        <v>#VALUE!</v>
      </c>
      <c r="M12" s="171" t="e">
        <f ca="1">_xll.DBRW($A$1,$C12,$B12,M$3,M$1,M$2,$A12)*$D12</f>
        <v>#VALUE!</v>
      </c>
      <c r="N12" s="25" t="e">
        <f ca="1">_xll.DBRW($A$1,$C12,$B12,N$3,N$1,N$2,$A12)*$D12</f>
        <v>#VALUE!</v>
      </c>
      <c r="O12" s="25" t="e">
        <f t="shared" ca="1" si="2"/>
        <v>#VALUE!</v>
      </c>
      <c r="P12" s="171" t="e">
        <f ca="1">_xll.DBRW($A$1,$C12,$B12,P$3,P$1,P$2,$A12)*$D12</f>
        <v>#VALUE!</v>
      </c>
      <c r="Q12" s="25" t="e">
        <f ca="1">_xll.DBRW($A$1,$C12,$B12,Q$3,Q$1,Q$2,$A12)*$D12</f>
        <v>#VALUE!</v>
      </c>
      <c r="R12" s="25" t="e">
        <f t="shared" ca="1" si="3"/>
        <v>#VALUE!</v>
      </c>
      <c r="S12" s="171" t="e">
        <f ca="1">_xll.DBRW($A$1,$C12,$B12,S$3,S$1,S$2,$A12)*$D12</f>
        <v>#VALUE!</v>
      </c>
      <c r="T12" s="25" t="e">
        <f ca="1">_xll.DBRW($A$1,$C12,$B12,T$3,T$1,T$2,$A12)*$D12</f>
        <v>#VALUE!</v>
      </c>
      <c r="U12" s="25" t="e">
        <f t="shared" ca="1" si="4"/>
        <v>#VALUE!</v>
      </c>
      <c r="V12" s="171" t="e">
        <f ca="1">_xll.DBRW($A$1,$C12,$B12,V$3,V$1,V$2,$A12)*$D12</f>
        <v>#VALUE!</v>
      </c>
      <c r="W12" s="25" t="e">
        <f ca="1">_xll.DBRW($A$1,$C12,$B12,W$3,W$1,W$2,$A12)*$D12</f>
        <v>#VALUE!</v>
      </c>
      <c r="X12" s="25" t="e">
        <f t="shared" ca="1" si="5"/>
        <v>#VALUE!</v>
      </c>
      <c r="Y12" s="171" t="e">
        <f ca="1">_xll.DBRW($A$1,$C12,$B12,Y$3,Y$1,Y$2,$A12)*$D12</f>
        <v>#VALUE!</v>
      </c>
      <c r="Z12" s="25" t="e">
        <f ca="1">_xll.DBRW($A$1,$C12,$B12,Z$3,Z$1,Z$2,$A12)*$D12</f>
        <v>#VALUE!</v>
      </c>
      <c r="AA12" s="25" t="e">
        <f t="shared" ca="1" si="6"/>
        <v>#VALUE!</v>
      </c>
      <c r="AB12" s="171" t="e">
        <f ca="1">_xll.DBRW($A$1,$C12,$B12,AB$3,AB$1,AB$2,$A12)*$D12</f>
        <v>#VALUE!</v>
      </c>
      <c r="AC12" s="25" t="e">
        <f ca="1">_xll.DBRW($A$1,$C12,$B12,AC$3,AC$1,AC$2,$A12)*$D12</f>
        <v>#VALUE!</v>
      </c>
      <c r="AD12" s="25" t="e">
        <f t="shared" ca="1" si="7"/>
        <v>#VALUE!</v>
      </c>
      <c r="AE12" s="171" t="e">
        <f ca="1">_xll.DBRW($A$1,$C12,$B12,AE$3,AE$1,AE$2,$A12)*$D12</f>
        <v>#VALUE!</v>
      </c>
      <c r="AF12" s="25" t="e">
        <f ca="1">_xll.DBRW($A$1,$C12,$B12,AF$3,AF$1,AF$2,$A12)*$D12</f>
        <v>#VALUE!</v>
      </c>
      <c r="AG12" s="25" t="e">
        <f t="shared" ca="1" si="8"/>
        <v>#VALUE!</v>
      </c>
      <c r="AH12" s="171" t="e">
        <f ca="1">_xll.DBRW($A$1,$C12,$B12,AH$3,AH$1,AH$2,$A12)*$D12</f>
        <v>#VALUE!</v>
      </c>
      <c r="AI12" s="25" t="e">
        <f ca="1">_xll.DBRW($A$1,$C12,$B12,AI$3,AI$1,AI$2,$A12)*$D12</f>
        <v>#VALUE!</v>
      </c>
      <c r="AJ12" s="25" t="e">
        <f t="shared" ca="1" si="9"/>
        <v>#VALUE!</v>
      </c>
      <c r="AK12" s="171" t="e">
        <f ca="1">_xll.DBRW($A$1,$C12,$B12,AK$3,AK$1,AK$2,$A12)*$D12</f>
        <v>#VALUE!</v>
      </c>
      <c r="AL12" s="25" t="e">
        <f ca="1">_xll.DBRW($A$1,$C12,$B12,AL$3,AL$1,AL$2,$A12)*$D12</f>
        <v>#VALUE!</v>
      </c>
      <c r="AM12" s="25" t="e">
        <f t="shared" ca="1" si="10"/>
        <v>#VALUE!</v>
      </c>
    </row>
    <row r="13" spans="1:39" ht="15" customHeight="1">
      <c r="A13" s="170" t="s">
        <v>320</v>
      </c>
      <c r="B13" s="169" t="s">
        <v>334</v>
      </c>
      <c r="C13" s="168" t="s">
        <v>133</v>
      </c>
      <c r="D13" s="168">
        <v>1</v>
      </c>
      <c r="E13" s="167" t="str">
        <f ca="1">_xll.DBRA("mfc:skz",B13,"Group")</f>
        <v>EBIT</v>
      </c>
      <c r="F13" s="28" t="s">
        <v>4</v>
      </c>
      <c r="G13" s="171" t="e">
        <f ca="1">_xll.DBRW($A$1,$C13,$B13,G$3,G$1,G$2,$A13)*$D13</f>
        <v>#VALUE!</v>
      </c>
      <c r="H13" s="25" t="e">
        <f ca="1">_xll.DBRW($A$1,$C13,$B13,H$3,H$1,H$2,$A13)*$D13</f>
        <v>#VALUE!</v>
      </c>
      <c r="I13" s="25" t="e">
        <f t="shared" ca="1" si="0"/>
        <v>#VALUE!</v>
      </c>
      <c r="J13" s="171" t="e">
        <f ca="1">_xll.DBRW($A$1,$C13,$B13,J$3,J$1,J$2,$A13)*$D13</f>
        <v>#VALUE!</v>
      </c>
      <c r="K13" s="25" t="e">
        <f ca="1">_xll.DBRW($A$1,$C13,$B13,K$3,K$1,K$2,$A13)*$D13</f>
        <v>#VALUE!</v>
      </c>
      <c r="L13" s="25" t="e">
        <f t="shared" ca="1" si="1"/>
        <v>#VALUE!</v>
      </c>
      <c r="M13" s="171" t="e">
        <f ca="1">_xll.DBRW($A$1,$C13,$B13,M$3,M$1,M$2,$A13)*$D13</f>
        <v>#VALUE!</v>
      </c>
      <c r="N13" s="25" t="e">
        <f ca="1">_xll.DBRW($A$1,$C13,$B13,N$3,N$1,N$2,$A13)*$D13</f>
        <v>#VALUE!</v>
      </c>
      <c r="O13" s="25" t="e">
        <f t="shared" ca="1" si="2"/>
        <v>#VALUE!</v>
      </c>
      <c r="P13" s="171" t="e">
        <f ca="1">_xll.DBRW($A$1,$C13,$B13,P$3,P$1,P$2,$A13)*$D13</f>
        <v>#VALUE!</v>
      </c>
      <c r="Q13" s="25" t="e">
        <f ca="1">_xll.DBRW($A$1,$C13,$B13,Q$3,Q$1,Q$2,$A13)*$D13</f>
        <v>#VALUE!</v>
      </c>
      <c r="R13" s="25" t="e">
        <f t="shared" ca="1" si="3"/>
        <v>#VALUE!</v>
      </c>
      <c r="S13" s="171" t="e">
        <f ca="1">_xll.DBRW($A$1,$C13,$B13,S$3,S$1,S$2,$A13)*$D13</f>
        <v>#VALUE!</v>
      </c>
      <c r="T13" s="25" t="e">
        <f ca="1">_xll.DBRW($A$1,$C13,$B13,T$3,T$1,T$2,$A13)*$D13</f>
        <v>#VALUE!</v>
      </c>
      <c r="U13" s="25" t="e">
        <f t="shared" ca="1" si="4"/>
        <v>#VALUE!</v>
      </c>
      <c r="V13" s="171" t="e">
        <f ca="1">_xll.DBRW($A$1,$C13,$B13,V$3,V$1,V$2,$A13)*$D13</f>
        <v>#VALUE!</v>
      </c>
      <c r="W13" s="25" t="e">
        <f ca="1">_xll.DBRW($A$1,$C13,$B13,W$3,W$1,W$2,$A13)*$D13</f>
        <v>#VALUE!</v>
      </c>
      <c r="X13" s="25" t="e">
        <f t="shared" ca="1" si="5"/>
        <v>#VALUE!</v>
      </c>
      <c r="Y13" s="171" t="e">
        <f ca="1">_xll.DBRW($A$1,$C13,$B13,Y$3,Y$1,Y$2,$A13)*$D13</f>
        <v>#VALUE!</v>
      </c>
      <c r="Z13" s="25" t="e">
        <f ca="1">_xll.DBRW($A$1,$C13,$B13,Z$3,Z$1,Z$2,$A13)*$D13</f>
        <v>#VALUE!</v>
      </c>
      <c r="AA13" s="25" t="e">
        <f t="shared" ca="1" si="6"/>
        <v>#VALUE!</v>
      </c>
      <c r="AB13" s="171" t="e">
        <f ca="1">_xll.DBRW($A$1,$C13,$B13,AB$3,AB$1,AB$2,$A13)*$D13</f>
        <v>#VALUE!</v>
      </c>
      <c r="AC13" s="25" t="e">
        <f ca="1">_xll.DBRW($A$1,$C13,$B13,AC$3,AC$1,AC$2,$A13)*$D13</f>
        <v>#VALUE!</v>
      </c>
      <c r="AD13" s="25" t="e">
        <f t="shared" ca="1" si="7"/>
        <v>#VALUE!</v>
      </c>
      <c r="AE13" s="171" t="e">
        <f ca="1">_xll.DBRW($A$1,$C13,$B13,AE$3,AE$1,AE$2,$A13)*$D13</f>
        <v>#VALUE!</v>
      </c>
      <c r="AF13" s="25" t="e">
        <f ca="1">_xll.DBRW($A$1,$C13,$B13,AF$3,AF$1,AF$2,$A13)*$D13</f>
        <v>#VALUE!</v>
      </c>
      <c r="AG13" s="25" t="e">
        <f t="shared" ca="1" si="8"/>
        <v>#VALUE!</v>
      </c>
      <c r="AH13" s="171" t="e">
        <f ca="1">_xll.DBRW($A$1,$C13,$B13,AH$3,AH$1,AH$2,$A13)*$D13</f>
        <v>#VALUE!</v>
      </c>
      <c r="AI13" s="25" t="e">
        <f ca="1">_xll.DBRW($A$1,$C13,$B13,AI$3,AI$1,AI$2,$A13)*$D13</f>
        <v>#VALUE!</v>
      </c>
      <c r="AJ13" s="25" t="e">
        <f t="shared" ca="1" si="9"/>
        <v>#VALUE!</v>
      </c>
      <c r="AK13" s="171" t="e">
        <f ca="1">_xll.DBRW($A$1,$C13,$B13,AK$3,AK$1,AK$2,$A13)*$D13</f>
        <v>#VALUE!</v>
      </c>
      <c r="AL13" s="25" t="e">
        <f ca="1">_xll.DBRW($A$1,$C13,$B13,AL$3,AL$1,AL$2,$A13)*$D13</f>
        <v>#VALUE!</v>
      </c>
      <c r="AM13" s="25" t="e">
        <f t="shared" ca="1" si="10"/>
        <v>#VALUE!</v>
      </c>
    </row>
    <row r="14" spans="1:39" ht="15" customHeight="1">
      <c r="A14" s="170" t="s">
        <v>319</v>
      </c>
      <c r="B14" s="169" t="s">
        <v>334</v>
      </c>
      <c r="C14" s="168" t="s">
        <v>133</v>
      </c>
      <c r="D14" s="168">
        <v>1</v>
      </c>
      <c r="E14" s="167" t="str">
        <f ca="1">_xll.DBRA("mfc:skz",B14,"Group")</f>
        <v>EBIT</v>
      </c>
      <c r="F14" s="222" t="s">
        <v>5</v>
      </c>
      <c r="G14" s="217" t="e">
        <f ca="1">_xll.DBRW($A$1,$C14,$B14,G$3,G$1,G$2,$A14)*$D14</f>
        <v>#VALUE!</v>
      </c>
      <c r="H14" s="216" t="e">
        <f ca="1">_xll.DBRW($A$1,$C14,$B14,H$3,H$1,H$2,$A14)*$D14</f>
        <v>#VALUE!</v>
      </c>
      <c r="I14" s="216" t="e">
        <f t="shared" ca="1" si="0"/>
        <v>#VALUE!</v>
      </c>
      <c r="J14" s="217" t="e">
        <f ca="1">_xll.DBRW($A$1,$C14,$B14,J$3,J$1,J$2,$A14)*$D14</f>
        <v>#VALUE!</v>
      </c>
      <c r="K14" s="216" t="e">
        <f ca="1">_xll.DBRW($A$1,$C14,$B14,K$3,K$1,K$2,$A14)*$D14</f>
        <v>#VALUE!</v>
      </c>
      <c r="L14" s="216" t="e">
        <f t="shared" ca="1" si="1"/>
        <v>#VALUE!</v>
      </c>
      <c r="M14" s="217" t="e">
        <f ca="1">_xll.DBRW($A$1,$C14,$B14,M$3,M$1,M$2,$A14)*$D14</f>
        <v>#VALUE!</v>
      </c>
      <c r="N14" s="216" t="e">
        <f ca="1">_xll.DBRW($A$1,$C14,$B14,N$3,N$1,N$2,$A14)*$D14</f>
        <v>#VALUE!</v>
      </c>
      <c r="O14" s="216" t="e">
        <f t="shared" ca="1" si="2"/>
        <v>#VALUE!</v>
      </c>
      <c r="P14" s="217" t="e">
        <f ca="1">_xll.DBRW($A$1,$C14,$B14,P$3,P$1,P$2,$A14)*$D14</f>
        <v>#VALUE!</v>
      </c>
      <c r="Q14" s="216" t="e">
        <f ca="1">_xll.DBRW($A$1,$C14,$B14,Q$3,Q$1,Q$2,$A14)*$D14</f>
        <v>#VALUE!</v>
      </c>
      <c r="R14" s="216" t="e">
        <f t="shared" ca="1" si="3"/>
        <v>#VALUE!</v>
      </c>
      <c r="S14" s="217" t="e">
        <f ca="1">_xll.DBRW($A$1,$C14,$B14,S$3,S$1,S$2,$A14)*$D14</f>
        <v>#VALUE!</v>
      </c>
      <c r="T14" s="216" t="e">
        <f ca="1">_xll.DBRW($A$1,$C14,$B14,T$3,T$1,T$2,$A14)*$D14</f>
        <v>#VALUE!</v>
      </c>
      <c r="U14" s="216" t="e">
        <f t="shared" ca="1" si="4"/>
        <v>#VALUE!</v>
      </c>
      <c r="V14" s="217" t="e">
        <f ca="1">_xll.DBRW($A$1,$C14,$B14,V$3,V$1,V$2,$A14)*$D14</f>
        <v>#VALUE!</v>
      </c>
      <c r="W14" s="216" t="e">
        <f ca="1">_xll.DBRW($A$1,$C14,$B14,W$3,W$1,W$2,$A14)*$D14</f>
        <v>#VALUE!</v>
      </c>
      <c r="X14" s="216" t="e">
        <f t="shared" ca="1" si="5"/>
        <v>#VALUE!</v>
      </c>
      <c r="Y14" s="217" t="e">
        <f ca="1">_xll.DBRW($A$1,$C14,$B14,Y$3,Y$1,Y$2,$A14)*$D14</f>
        <v>#VALUE!</v>
      </c>
      <c r="Z14" s="216" t="e">
        <f ca="1">_xll.DBRW($A$1,$C14,$B14,Z$3,Z$1,Z$2,$A14)*$D14</f>
        <v>#VALUE!</v>
      </c>
      <c r="AA14" s="216" t="e">
        <f t="shared" ca="1" si="6"/>
        <v>#VALUE!</v>
      </c>
      <c r="AB14" s="217" t="e">
        <f ca="1">_xll.DBRW($A$1,$C14,$B14,AB$3,AB$1,AB$2,$A14)*$D14</f>
        <v>#VALUE!</v>
      </c>
      <c r="AC14" s="216" t="e">
        <f ca="1">_xll.DBRW($A$1,$C14,$B14,AC$3,AC$1,AC$2,$A14)*$D14</f>
        <v>#VALUE!</v>
      </c>
      <c r="AD14" s="216" t="e">
        <f t="shared" ca="1" si="7"/>
        <v>#VALUE!</v>
      </c>
      <c r="AE14" s="217" t="e">
        <f ca="1">_xll.DBRW($A$1,$C14,$B14,AE$3,AE$1,AE$2,$A14)*$D14</f>
        <v>#VALUE!</v>
      </c>
      <c r="AF14" s="216" t="e">
        <f ca="1">_xll.DBRW($A$1,$C14,$B14,AF$3,AF$1,AF$2,$A14)*$D14</f>
        <v>#VALUE!</v>
      </c>
      <c r="AG14" s="216" t="e">
        <f t="shared" ca="1" si="8"/>
        <v>#VALUE!</v>
      </c>
      <c r="AH14" s="217" t="e">
        <f ca="1">_xll.DBRW($A$1,$C14,$B14,AH$3,AH$1,AH$2,$A14)*$D14</f>
        <v>#VALUE!</v>
      </c>
      <c r="AI14" s="216" t="e">
        <f ca="1">_xll.DBRW($A$1,$C14,$B14,AI$3,AI$1,AI$2,$A14)*$D14</f>
        <v>#VALUE!</v>
      </c>
      <c r="AJ14" s="216" t="e">
        <f t="shared" ca="1" si="9"/>
        <v>#VALUE!</v>
      </c>
      <c r="AK14" s="217" t="e">
        <f ca="1">_xll.DBRW($A$1,$C14,$B14,AK$3,AK$1,AK$2,$A14)*$D14</f>
        <v>#VALUE!</v>
      </c>
      <c r="AL14" s="216" t="e">
        <f ca="1">_xll.DBRW($A$1,$C14,$B14,AL$3,AL$1,AL$2,$A14)*$D14</f>
        <v>#VALUE!</v>
      </c>
      <c r="AM14" s="216" t="e">
        <f t="shared" ca="1" si="10"/>
        <v>#VALUE!</v>
      </c>
    </row>
    <row r="15" spans="1:39" ht="15" customHeight="1">
      <c r="A15" s="170" t="s">
        <v>364</v>
      </c>
      <c r="B15" s="169" t="s">
        <v>334</v>
      </c>
      <c r="C15" s="168" t="s">
        <v>133</v>
      </c>
      <c r="D15" s="168">
        <v>1</v>
      </c>
      <c r="E15" s="167" t="str">
        <f ca="1">_xll.DBRA("mfc:skz",B15,"Group")</f>
        <v>EBIT</v>
      </c>
      <c r="F15" s="185" t="s">
        <v>178</v>
      </c>
      <c r="G15" s="171" t="e">
        <f ca="1">_xll.DBRW($A$1,$C15,$B15,G$3,G$1,G$2,$A15)*$D15</f>
        <v>#VALUE!</v>
      </c>
      <c r="H15" s="25" t="e">
        <f ca="1">_xll.DBRW($A$1,$C15,$B15,H$3,H$1,H$2,$A15)*$D15</f>
        <v>#VALUE!</v>
      </c>
      <c r="I15" s="25" t="e">
        <f t="shared" ca="1" si="0"/>
        <v>#VALUE!</v>
      </c>
      <c r="J15" s="171" t="e">
        <f ca="1">_xll.DBRW($A$1,$C15,$B15,J$3,J$1,J$2,$A15)*$D15</f>
        <v>#VALUE!</v>
      </c>
      <c r="K15" s="25" t="e">
        <f ca="1">_xll.DBRW($A$1,$C15,$B15,K$3,K$1,K$2,$A15)*$D15</f>
        <v>#VALUE!</v>
      </c>
      <c r="L15" s="25" t="e">
        <f t="shared" ca="1" si="1"/>
        <v>#VALUE!</v>
      </c>
      <c r="M15" s="171" t="e">
        <f ca="1">_xll.DBRW($A$1,$C15,$B15,M$3,M$1,M$2,$A15)*$D15</f>
        <v>#VALUE!</v>
      </c>
      <c r="N15" s="25" t="e">
        <f ca="1">_xll.DBRW($A$1,$C15,$B15,N$3,N$1,N$2,$A15)*$D15</f>
        <v>#VALUE!</v>
      </c>
      <c r="O15" s="25" t="e">
        <f t="shared" ca="1" si="2"/>
        <v>#VALUE!</v>
      </c>
      <c r="P15" s="171" t="e">
        <f ca="1">_xll.DBRW($A$1,$C15,$B15,P$3,P$1,P$2,$A15)*$D15</f>
        <v>#VALUE!</v>
      </c>
      <c r="Q15" s="25" t="e">
        <f ca="1">_xll.DBRW($A$1,$C15,$B15,Q$3,Q$1,Q$2,$A15)*$D15</f>
        <v>#VALUE!</v>
      </c>
      <c r="R15" s="25" t="e">
        <f t="shared" ca="1" si="3"/>
        <v>#VALUE!</v>
      </c>
      <c r="S15" s="171" t="e">
        <f ca="1">_xll.DBRW($A$1,$C15,$B15,S$3,S$1,S$2,$A15)*$D15</f>
        <v>#VALUE!</v>
      </c>
      <c r="T15" s="25" t="e">
        <f ca="1">_xll.DBRW($A$1,$C15,$B15,T$3,T$1,T$2,$A15)*$D15</f>
        <v>#VALUE!</v>
      </c>
      <c r="U15" s="25" t="e">
        <f t="shared" ca="1" si="4"/>
        <v>#VALUE!</v>
      </c>
      <c r="V15" s="171" t="e">
        <f ca="1">_xll.DBRW($A$1,$C15,$B15,V$3,V$1,V$2,$A15)*$D15</f>
        <v>#VALUE!</v>
      </c>
      <c r="W15" s="25" t="e">
        <f ca="1">_xll.DBRW($A$1,$C15,$B15,W$3,W$1,W$2,$A15)*$D15</f>
        <v>#VALUE!</v>
      </c>
      <c r="X15" s="25" t="e">
        <f t="shared" ca="1" si="5"/>
        <v>#VALUE!</v>
      </c>
      <c r="Y15" s="171" t="e">
        <f ca="1">_xll.DBRW($A$1,$C15,$B15,Y$3,Y$1,Y$2,$A15)*$D15</f>
        <v>#VALUE!</v>
      </c>
      <c r="Z15" s="25" t="e">
        <f ca="1">_xll.DBRW($A$1,$C15,$B15,Z$3,Z$1,Z$2,$A15)*$D15</f>
        <v>#VALUE!</v>
      </c>
      <c r="AA15" s="25" t="e">
        <f t="shared" ca="1" si="6"/>
        <v>#VALUE!</v>
      </c>
      <c r="AB15" s="171" t="e">
        <f ca="1">_xll.DBRW($A$1,$C15,$B15,AB$3,AB$1,AB$2,$A15)*$D15</f>
        <v>#VALUE!</v>
      </c>
      <c r="AC15" s="25" t="e">
        <f ca="1">_xll.DBRW($A$1,$C15,$B15,AC$3,AC$1,AC$2,$A15)*$D15</f>
        <v>#VALUE!</v>
      </c>
      <c r="AD15" s="25" t="e">
        <f t="shared" ca="1" si="7"/>
        <v>#VALUE!</v>
      </c>
      <c r="AE15" s="171" t="e">
        <f ca="1">_xll.DBRW($A$1,$C15,$B15,AE$3,AE$1,AE$2,$A15)*$D15</f>
        <v>#VALUE!</v>
      </c>
      <c r="AF15" s="25" t="e">
        <f ca="1">_xll.DBRW($A$1,$C15,$B15,AF$3,AF$1,AF$2,$A15)*$D15</f>
        <v>#VALUE!</v>
      </c>
      <c r="AG15" s="25" t="e">
        <f t="shared" ca="1" si="8"/>
        <v>#VALUE!</v>
      </c>
      <c r="AH15" s="171" t="e">
        <f ca="1">_xll.DBRW($A$1,$C15,$B15,AH$3,AH$1,AH$2,$A15)*$D15</f>
        <v>#VALUE!</v>
      </c>
      <c r="AI15" s="25" t="e">
        <f ca="1">_xll.DBRW($A$1,$C15,$B15,AI$3,AI$1,AI$2,$A15)*$D15</f>
        <v>#VALUE!</v>
      </c>
      <c r="AJ15" s="25" t="e">
        <f t="shared" ca="1" si="9"/>
        <v>#VALUE!</v>
      </c>
      <c r="AK15" s="171" t="e">
        <f ca="1">_xll.DBRW($A$1,$C15,$B15,AK$3,AK$1,AK$2,$A15)*$D15</f>
        <v>#VALUE!</v>
      </c>
      <c r="AL15" s="25" t="e">
        <f ca="1">_xll.DBRW($A$1,$C15,$B15,AL$3,AL$1,AL$2,$A15)*$D15</f>
        <v>#VALUE!</v>
      </c>
      <c r="AM15" s="25" t="e">
        <f t="shared" ca="1" si="10"/>
        <v>#VALUE!</v>
      </c>
    </row>
    <row r="16" spans="1:39" ht="15" customHeight="1">
      <c r="A16" s="170" t="s">
        <v>363</v>
      </c>
      <c r="B16" s="169" t="s">
        <v>334</v>
      </c>
      <c r="C16" s="168" t="s">
        <v>133</v>
      </c>
      <c r="D16" s="168">
        <v>1</v>
      </c>
      <c r="E16" s="167" t="str">
        <f ca="1">_xll.DBRA("mfc:skz",B16,"Group")</f>
        <v>EBIT</v>
      </c>
      <c r="F16" s="221" t="s">
        <v>194</v>
      </c>
      <c r="G16" s="171" t="e">
        <f ca="1">_xll.DBRW($A$1,$C16,$B16,G$3,G$1,G$2,$A16)*$D16</f>
        <v>#VALUE!</v>
      </c>
      <c r="H16" s="25" t="e">
        <f ca="1">_xll.DBRW($A$1,$C16,$B16,H$3,H$1,H$2,$A16)*$D16</f>
        <v>#VALUE!</v>
      </c>
      <c r="I16" s="25" t="e">
        <f t="shared" ca="1" si="0"/>
        <v>#VALUE!</v>
      </c>
      <c r="J16" s="171" t="e">
        <f ca="1">_xll.DBRW($A$1,$C16,$B16,J$3,J$1,J$2,$A16)*$D16</f>
        <v>#VALUE!</v>
      </c>
      <c r="K16" s="25" t="e">
        <f ca="1">_xll.DBRW($A$1,$C16,$B16,K$3,K$1,K$2,$A16)*$D16</f>
        <v>#VALUE!</v>
      </c>
      <c r="L16" s="25" t="e">
        <f t="shared" ca="1" si="1"/>
        <v>#VALUE!</v>
      </c>
      <c r="M16" s="171" t="e">
        <f ca="1">_xll.DBRW($A$1,$C16,$B16,M$3,M$1,M$2,$A16)*$D16</f>
        <v>#VALUE!</v>
      </c>
      <c r="N16" s="25" t="e">
        <f ca="1">_xll.DBRW($A$1,$C16,$B16,N$3,N$1,N$2,$A16)*$D16</f>
        <v>#VALUE!</v>
      </c>
      <c r="O16" s="25" t="e">
        <f t="shared" ca="1" si="2"/>
        <v>#VALUE!</v>
      </c>
      <c r="P16" s="171" t="e">
        <f ca="1">_xll.DBRW($A$1,$C16,$B16,P$3,P$1,P$2,$A16)*$D16</f>
        <v>#VALUE!</v>
      </c>
      <c r="Q16" s="25" t="e">
        <f ca="1">_xll.DBRW($A$1,$C16,$B16,Q$3,Q$1,Q$2,$A16)*$D16</f>
        <v>#VALUE!</v>
      </c>
      <c r="R16" s="25" t="e">
        <f t="shared" ca="1" si="3"/>
        <v>#VALUE!</v>
      </c>
      <c r="S16" s="171" t="e">
        <f ca="1">_xll.DBRW($A$1,$C16,$B16,S$3,S$1,S$2,$A16)*$D16</f>
        <v>#VALUE!</v>
      </c>
      <c r="T16" s="25" t="e">
        <f ca="1">_xll.DBRW($A$1,$C16,$B16,T$3,T$1,T$2,$A16)*$D16</f>
        <v>#VALUE!</v>
      </c>
      <c r="U16" s="25" t="e">
        <f t="shared" ca="1" si="4"/>
        <v>#VALUE!</v>
      </c>
      <c r="V16" s="171" t="e">
        <f ca="1">_xll.DBRW($A$1,$C16,$B16,V$3,V$1,V$2,$A16)*$D16</f>
        <v>#VALUE!</v>
      </c>
      <c r="W16" s="25" t="e">
        <f ca="1">_xll.DBRW($A$1,$C16,$B16,W$3,W$1,W$2,$A16)*$D16</f>
        <v>#VALUE!</v>
      </c>
      <c r="X16" s="25" t="e">
        <f t="shared" ca="1" si="5"/>
        <v>#VALUE!</v>
      </c>
      <c r="Y16" s="171" t="e">
        <f ca="1">_xll.DBRW($A$1,$C16,$B16,Y$3,Y$1,Y$2,$A16)*$D16</f>
        <v>#VALUE!</v>
      </c>
      <c r="Z16" s="25" t="e">
        <f ca="1">_xll.DBRW($A$1,$C16,$B16,Z$3,Z$1,Z$2,$A16)*$D16</f>
        <v>#VALUE!</v>
      </c>
      <c r="AA16" s="25" t="e">
        <f t="shared" ca="1" si="6"/>
        <v>#VALUE!</v>
      </c>
      <c r="AB16" s="171" t="e">
        <f ca="1">_xll.DBRW($A$1,$C16,$B16,AB$3,AB$1,AB$2,$A16)*$D16</f>
        <v>#VALUE!</v>
      </c>
      <c r="AC16" s="25" t="e">
        <f ca="1">_xll.DBRW($A$1,$C16,$B16,AC$3,AC$1,AC$2,$A16)*$D16</f>
        <v>#VALUE!</v>
      </c>
      <c r="AD16" s="25" t="e">
        <f t="shared" ca="1" si="7"/>
        <v>#VALUE!</v>
      </c>
      <c r="AE16" s="171" t="e">
        <f ca="1">_xll.DBRW($A$1,$C16,$B16,AE$3,AE$1,AE$2,$A16)*$D16</f>
        <v>#VALUE!</v>
      </c>
      <c r="AF16" s="25" t="e">
        <f ca="1">_xll.DBRW($A$1,$C16,$B16,AF$3,AF$1,AF$2,$A16)*$D16</f>
        <v>#VALUE!</v>
      </c>
      <c r="AG16" s="25" t="e">
        <f t="shared" ca="1" si="8"/>
        <v>#VALUE!</v>
      </c>
      <c r="AH16" s="171" t="e">
        <f ca="1">_xll.DBRW($A$1,$C16,$B16,AH$3,AH$1,AH$2,$A16)*$D16</f>
        <v>#VALUE!</v>
      </c>
      <c r="AI16" s="25" t="e">
        <f ca="1">_xll.DBRW($A$1,$C16,$B16,AI$3,AI$1,AI$2,$A16)*$D16</f>
        <v>#VALUE!</v>
      </c>
      <c r="AJ16" s="25" t="e">
        <f t="shared" ca="1" si="9"/>
        <v>#VALUE!</v>
      </c>
      <c r="AK16" s="171" t="e">
        <f ca="1">_xll.DBRW($A$1,$C16,$B16,AK$3,AK$1,AK$2,$A16)*$D16</f>
        <v>#VALUE!</v>
      </c>
      <c r="AL16" s="25" t="e">
        <f ca="1">_xll.DBRW($A$1,$C16,$B16,AL$3,AL$1,AL$2,$A16)*$D16</f>
        <v>#VALUE!</v>
      </c>
      <c r="AM16" s="25" t="e">
        <f t="shared" ca="1" si="10"/>
        <v>#VALUE!</v>
      </c>
    </row>
    <row r="17" spans="1:39" ht="15" customHeight="1">
      <c r="A17" s="170" t="s">
        <v>319</v>
      </c>
      <c r="B17" s="169" t="s">
        <v>341</v>
      </c>
      <c r="C17" s="168" t="s">
        <v>133</v>
      </c>
      <c r="D17" s="168">
        <v>-1</v>
      </c>
      <c r="E17" s="167" t="str">
        <f ca="1">_xll.DBRA("mfc:skz",B17,"Group")</f>
        <v>Exeptional items &amp; accounting changes</v>
      </c>
      <c r="F17" s="181" t="s">
        <v>315</v>
      </c>
      <c r="G17" s="218" t="e">
        <f ca="1">_xll.DBRW($A$1,$C17,$B17,G$3,G$1,G$2,$A17)*$D17</f>
        <v>#VALUE!</v>
      </c>
      <c r="H17" s="64" t="e">
        <f ca="1">_xll.DBRW($A$1,$C17,$B17,H$3,H$1,H$2,$A17)*$D17</f>
        <v>#VALUE!</v>
      </c>
      <c r="I17" s="64" t="e">
        <f t="shared" ca="1" si="0"/>
        <v>#VALUE!</v>
      </c>
      <c r="J17" s="218" t="e">
        <f ca="1">_xll.DBRW($A$1,$C17,$B17,J$3,J$1,J$2,$A17)*$D17</f>
        <v>#VALUE!</v>
      </c>
      <c r="K17" s="64" t="e">
        <f ca="1">_xll.DBRW($A$1,$C17,$B17,K$3,K$1,K$2,$A17)*$D17</f>
        <v>#VALUE!</v>
      </c>
      <c r="L17" s="64" t="e">
        <f t="shared" ca="1" si="1"/>
        <v>#VALUE!</v>
      </c>
      <c r="M17" s="218" t="e">
        <f ca="1">_xll.DBRW($A$1,$C17,$B17,M$3,M$1,M$2,$A17)*$D17</f>
        <v>#VALUE!</v>
      </c>
      <c r="N17" s="64" t="e">
        <f ca="1">_xll.DBRW($A$1,$C17,$B17,N$3,N$1,N$2,$A17)*$D17</f>
        <v>#VALUE!</v>
      </c>
      <c r="O17" s="64" t="e">
        <f t="shared" ca="1" si="2"/>
        <v>#VALUE!</v>
      </c>
      <c r="P17" s="218" t="e">
        <f ca="1">_xll.DBRW($A$1,$C17,$B17,P$3,P$1,P$2,$A17)*$D17</f>
        <v>#VALUE!</v>
      </c>
      <c r="Q17" s="64" t="e">
        <f ca="1">_xll.DBRW($A$1,$C17,$B17,Q$3,Q$1,Q$2,$A17)*$D17</f>
        <v>#VALUE!</v>
      </c>
      <c r="R17" s="64" t="e">
        <f t="shared" ca="1" si="3"/>
        <v>#VALUE!</v>
      </c>
      <c r="S17" s="218" t="e">
        <f ca="1">_xll.DBRW($A$1,$C17,$B17,S$3,S$1,S$2,$A17)*$D17</f>
        <v>#VALUE!</v>
      </c>
      <c r="T17" s="64" t="e">
        <f ca="1">_xll.DBRW($A$1,$C17,$B17,T$3,T$1,T$2,$A17)*$D17</f>
        <v>#VALUE!</v>
      </c>
      <c r="U17" s="64" t="e">
        <f t="shared" ca="1" si="4"/>
        <v>#VALUE!</v>
      </c>
      <c r="V17" s="218" t="e">
        <f ca="1">_xll.DBRW($A$1,$C17,$B17,V$3,V$1,V$2,$A17)*$D17</f>
        <v>#VALUE!</v>
      </c>
      <c r="W17" s="64" t="e">
        <f ca="1">_xll.DBRW($A$1,$C17,$B17,W$3,W$1,W$2,$A17)*$D17</f>
        <v>#VALUE!</v>
      </c>
      <c r="X17" s="64" t="e">
        <f t="shared" ca="1" si="5"/>
        <v>#VALUE!</v>
      </c>
      <c r="Y17" s="218" t="e">
        <f ca="1">_xll.DBRW($A$1,$C17,$B17,Y$3,Y$1,Y$2,$A17)*$D17</f>
        <v>#VALUE!</v>
      </c>
      <c r="Z17" s="64" t="e">
        <f ca="1">_xll.DBRW($A$1,$C17,$B17,Z$3,Z$1,Z$2,$A17)*$D17</f>
        <v>#VALUE!</v>
      </c>
      <c r="AA17" s="64" t="e">
        <f t="shared" ca="1" si="6"/>
        <v>#VALUE!</v>
      </c>
      <c r="AB17" s="218" t="e">
        <f ca="1">_xll.DBRW($A$1,$C17,$B17,AB$3,AB$1,AB$2,$A17)*$D17</f>
        <v>#VALUE!</v>
      </c>
      <c r="AC17" s="64" t="e">
        <f ca="1">_xll.DBRW($A$1,$C17,$B17,AC$3,AC$1,AC$2,$A17)*$D17</f>
        <v>#VALUE!</v>
      </c>
      <c r="AD17" s="64" t="e">
        <f t="shared" ca="1" si="7"/>
        <v>#VALUE!</v>
      </c>
      <c r="AE17" s="218" t="e">
        <f ca="1">_xll.DBRW($A$1,$C17,$B17,AE$3,AE$1,AE$2,$A17)*$D17</f>
        <v>#VALUE!</v>
      </c>
      <c r="AF17" s="64" t="e">
        <f ca="1">_xll.DBRW($A$1,$C17,$B17,AF$3,AF$1,AF$2,$A17)*$D17</f>
        <v>#VALUE!</v>
      </c>
      <c r="AG17" s="64" t="e">
        <f t="shared" ca="1" si="8"/>
        <v>#VALUE!</v>
      </c>
      <c r="AH17" s="218" t="e">
        <f ca="1">_xll.DBRW($A$1,$C17,$B17,AH$3,AH$1,AH$2,$A17)*$D17</f>
        <v>#VALUE!</v>
      </c>
      <c r="AI17" s="64" t="e">
        <f ca="1">_xll.DBRW($A$1,$C17,$B17,AI$3,AI$1,AI$2,$A17)*$D17</f>
        <v>#VALUE!</v>
      </c>
      <c r="AJ17" s="64" t="e">
        <f t="shared" ca="1" si="9"/>
        <v>#VALUE!</v>
      </c>
      <c r="AK17" s="218" t="e">
        <f ca="1">_xll.DBRW($A$1,$C17,$B17,AK$3,AK$1,AK$2,$A17)*$D17</f>
        <v>#VALUE!</v>
      </c>
      <c r="AL17" s="64" t="e">
        <f ca="1">_xll.DBRW($A$1,$C17,$B17,AL$3,AL$1,AL$2,$A17)*$D17</f>
        <v>#VALUE!</v>
      </c>
      <c r="AM17" s="64" t="e">
        <f t="shared" ca="1" si="10"/>
        <v>#VALUE!</v>
      </c>
    </row>
    <row r="18" spans="1:39" ht="15" customHeight="1">
      <c r="A18" s="170" t="s">
        <v>328</v>
      </c>
      <c r="B18" s="169" t="s">
        <v>368</v>
      </c>
      <c r="C18" s="168" t="s">
        <v>133</v>
      </c>
      <c r="D18" s="168">
        <v>-1</v>
      </c>
      <c r="E18" s="167" t="str">
        <f ca="1">_xll.DBRA("mfc:skz",B18,"Group")</f>
        <v>Personnel</v>
      </c>
      <c r="F18" s="99" t="s">
        <v>6</v>
      </c>
      <c r="G18" s="219" t="e">
        <f ca="1">_xll.DBRW($A$1,$C18,$B18,G$3,G$1,G$2,$A18)*$D18</f>
        <v>#VALUE!</v>
      </c>
      <c r="H18" s="96" t="e">
        <f ca="1">_xll.DBRW($A$1,$C18,$B18,H$3,H$1,H$2,$A18)*$D18</f>
        <v>#VALUE!</v>
      </c>
      <c r="I18" s="96" t="e">
        <f t="shared" ca="1" si="0"/>
        <v>#VALUE!</v>
      </c>
      <c r="J18" s="219" t="e">
        <f ca="1">_xll.DBRW($A$1,$C18,$B18,J$3,J$1,J$2,$A18)*$D18</f>
        <v>#VALUE!</v>
      </c>
      <c r="K18" s="96" t="e">
        <f ca="1">_xll.DBRW($A$1,$C18,$B18,K$3,K$1,K$2,$A18)*$D18</f>
        <v>#VALUE!</v>
      </c>
      <c r="L18" s="96" t="e">
        <f t="shared" ca="1" si="1"/>
        <v>#VALUE!</v>
      </c>
      <c r="M18" s="219" t="e">
        <f ca="1">_xll.DBRW($A$1,$C18,$B18,M$3,M$1,M$2,$A18)*$D18</f>
        <v>#VALUE!</v>
      </c>
      <c r="N18" s="96" t="e">
        <f ca="1">_xll.DBRW($A$1,$C18,$B18,N$3,N$1,N$2,$A18)*$D18</f>
        <v>#VALUE!</v>
      </c>
      <c r="O18" s="96" t="e">
        <f t="shared" ca="1" si="2"/>
        <v>#VALUE!</v>
      </c>
      <c r="P18" s="219" t="e">
        <f ca="1">_xll.DBRW($A$1,$C18,$B18,P$3,P$1,P$2,$A18)*$D18</f>
        <v>#VALUE!</v>
      </c>
      <c r="Q18" s="96" t="e">
        <f ca="1">_xll.DBRW($A$1,$C18,$B18,Q$3,Q$1,Q$2,$A18)*$D18</f>
        <v>#VALUE!</v>
      </c>
      <c r="R18" s="96" t="e">
        <f t="shared" ca="1" si="3"/>
        <v>#VALUE!</v>
      </c>
      <c r="S18" s="219" t="e">
        <f ca="1">_xll.DBRW($A$1,$C18,$B18,S$3,S$1,S$2,$A18)*$D18</f>
        <v>#VALUE!</v>
      </c>
      <c r="T18" s="96" t="e">
        <f ca="1">_xll.DBRW($A$1,$C18,$B18,T$3,T$1,T$2,$A18)*$D18</f>
        <v>#VALUE!</v>
      </c>
      <c r="U18" s="96" t="e">
        <f t="shared" ca="1" si="4"/>
        <v>#VALUE!</v>
      </c>
      <c r="V18" s="219" t="e">
        <f ca="1">_xll.DBRW($A$1,$C18,$B18,V$3,V$1,V$2,$A18)*$D18</f>
        <v>#VALUE!</v>
      </c>
      <c r="W18" s="96" t="e">
        <f ca="1">_xll.DBRW($A$1,$C18,$B18,W$3,W$1,W$2,$A18)*$D18</f>
        <v>#VALUE!</v>
      </c>
      <c r="X18" s="96" t="e">
        <f t="shared" ca="1" si="5"/>
        <v>#VALUE!</v>
      </c>
      <c r="Y18" s="219" t="e">
        <f ca="1">_xll.DBRW($A$1,$C18,$B18,Y$3,Y$1,Y$2,$A18)*$D18</f>
        <v>#VALUE!</v>
      </c>
      <c r="Z18" s="96" t="e">
        <f ca="1">_xll.DBRW($A$1,$C18,$B18,Z$3,Z$1,Z$2,$A18)*$D18</f>
        <v>#VALUE!</v>
      </c>
      <c r="AA18" s="96" t="e">
        <f t="shared" ca="1" si="6"/>
        <v>#VALUE!</v>
      </c>
      <c r="AB18" s="219" t="e">
        <f ca="1">_xll.DBRW($A$1,$C18,$B18,AB$3,AB$1,AB$2,$A18)*$D18</f>
        <v>#VALUE!</v>
      </c>
      <c r="AC18" s="96" t="e">
        <f ca="1">_xll.DBRW($A$1,$C18,$B18,AC$3,AC$1,AC$2,$A18)*$D18</f>
        <v>#VALUE!</v>
      </c>
      <c r="AD18" s="96" t="e">
        <f t="shared" ca="1" si="7"/>
        <v>#VALUE!</v>
      </c>
      <c r="AE18" s="219" t="e">
        <f ca="1">_xll.DBRW($A$1,$C18,$B18,AE$3,AE$1,AE$2,$A18)*$D18</f>
        <v>#VALUE!</v>
      </c>
      <c r="AF18" s="96" t="e">
        <f ca="1">_xll.DBRW($A$1,$C18,$B18,AF$3,AF$1,AF$2,$A18)*$D18</f>
        <v>#VALUE!</v>
      </c>
      <c r="AG18" s="96" t="e">
        <f t="shared" ca="1" si="8"/>
        <v>#VALUE!</v>
      </c>
      <c r="AH18" s="219" t="e">
        <f ca="1">_xll.DBRW($A$1,$C18,$B18,AH$3,AH$1,AH$2,$A18)*$D18</f>
        <v>#VALUE!</v>
      </c>
      <c r="AI18" s="96" t="e">
        <f ca="1">_xll.DBRW($A$1,$C18,$B18,AI$3,AI$1,AI$2,$A18)*$D18</f>
        <v>#VALUE!</v>
      </c>
      <c r="AJ18" s="96" t="e">
        <f t="shared" ca="1" si="9"/>
        <v>#VALUE!</v>
      </c>
      <c r="AK18" s="219" t="e">
        <f ca="1">_xll.DBRW($A$1,$C18,$B18,AK$3,AK$1,AK$2,$A18)*$D18</f>
        <v>#VALUE!</v>
      </c>
      <c r="AL18" s="96" t="e">
        <f ca="1">_xll.DBRW($A$1,$C18,$B18,AL$3,AL$1,AL$2,$A18)*$D18</f>
        <v>#VALUE!</v>
      </c>
      <c r="AM18" s="96" t="e">
        <f t="shared" ca="1" si="10"/>
        <v>#VALUE!</v>
      </c>
    </row>
    <row r="19" spans="1:39" ht="15" customHeight="1">
      <c r="A19" s="170" t="s">
        <v>328</v>
      </c>
      <c r="B19" s="169" t="s">
        <v>367</v>
      </c>
      <c r="C19" s="168" t="s">
        <v>133</v>
      </c>
      <c r="D19" s="168">
        <v>-1</v>
      </c>
      <c r="E19" s="167" t="str">
        <f ca="1">_xll.DBRA("mfc:skz",B19,"Group")</f>
        <v>Write-off</v>
      </c>
      <c r="F19" s="194" t="s">
        <v>314</v>
      </c>
      <c r="G19" s="171" t="e">
        <f ca="1">_xll.DBRW($A$1,$C19,$B19,G$3,G$1,G$2,$A19)*$D19</f>
        <v>#VALUE!</v>
      </c>
      <c r="H19" s="25" t="e">
        <f ca="1">_xll.DBRW($A$1,$C19,$B19,H$3,H$1,H$2,$A19)*$D19</f>
        <v>#VALUE!</v>
      </c>
      <c r="I19" s="25" t="e">
        <f t="shared" ca="1" si="0"/>
        <v>#VALUE!</v>
      </c>
      <c r="J19" s="171" t="e">
        <f ca="1">_xll.DBRW($A$1,$C19,$B19,J$3,J$1,J$2,$A19)*$D19</f>
        <v>#VALUE!</v>
      </c>
      <c r="K19" s="25" t="e">
        <f ca="1">_xll.DBRW($A$1,$C19,$B19,K$3,K$1,K$2,$A19)*$D19</f>
        <v>#VALUE!</v>
      </c>
      <c r="L19" s="25" t="e">
        <f t="shared" ca="1" si="1"/>
        <v>#VALUE!</v>
      </c>
      <c r="M19" s="171" t="e">
        <f ca="1">_xll.DBRW($A$1,$C19,$B19,M$3,M$1,M$2,$A19)*$D19</f>
        <v>#VALUE!</v>
      </c>
      <c r="N19" s="25" t="e">
        <f ca="1">_xll.DBRW($A$1,$C19,$B19,N$3,N$1,N$2,$A19)*$D19</f>
        <v>#VALUE!</v>
      </c>
      <c r="O19" s="25" t="e">
        <f t="shared" ca="1" si="2"/>
        <v>#VALUE!</v>
      </c>
      <c r="P19" s="171" t="e">
        <f ca="1">_xll.DBRW($A$1,$C19,$B19,P$3,P$1,P$2,$A19)*$D19</f>
        <v>#VALUE!</v>
      </c>
      <c r="Q19" s="25" t="e">
        <f ca="1">_xll.DBRW($A$1,$C19,$B19,Q$3,Q$1,Q$2,$A19)*$D19</f>
        <v>#VALUE!</v>
      </c>
      <c r="R19" s="25" t="e">
        <f t="shared" ca="1" si="3"/>
        <v>#VALUE!</v>
      </c>
      <c r="S19" s="171" t="e">
        <f ca="1">_xll.DBRW($A$1,$C19,$B19,S$3,S$1,S$2,$A19)*$D19</f>
        <v>#VALUE!</v>
      </c>
      <c r="T19" s="25" t="e">
        <f ca="1">_xll.DBRW($A$1,$C19,$B19,T$3,T$1,T$2,$A19)*$D19</f>
        <v>#VALUE!</v>
      </c>
      <c r="U19" s="25" t="e">
        <f t="shared" ca="1" si="4"/>
        <v>#VALUE!</v>
      </c>
      <c r="V19" s="171" t="e">
        <f ca="1">_xll.DBRW($A$1,$C19,$B19,V$3,V$1,V$2,$A19)*$D19</f>
        <v>#VALUE!</v>
      </c>
      <c r="W19" s="25" t="e">
        <f ca="1">_xll.DBRW($A$1,$C19,$B19,W$3,W$1,W$2,$A19)*$D19</f>
        <v>#VALUE!</v>
      </c>
      <c r="X19" s="25" t="e">
        <f t="shared" ca="1" si="5"/>
        <v>#VALUE!</v>
      </c>
      <c r="Y19" s="171" t="e">
        <f ca="1">_xll.DBRW($A$1,$C19,$B19,Y$3,Y$1,Y$2,$A19)*$D19</f>
        <v>#VALUE!</v>
      </c>
      <c r="Z19" s="25" t="e">
        <f ca="1">_xll.DBRW($A$1,$C19,$B19,Z$3,Z$1,Z$2,$A19)*$D19</f>
        <v>#VALUE!</v>
      </c>
      <c r="AA19" s="25" t="e">
        <f t="shared" ca="1" si="6"/>
        <v>#VALUE!</v>
      </c>
      <c r="AB19" s="171" t="e">
        <f ca="1">_xll.DBRW($A$1,$C19,$B19,AB$3,AB$1,AB$2,$A19)*$D19</f>
        <v>#VALUE!</v>
      </c>
      <c r="AC19" s="25" t="e">
        <f ca="1">_xll.DBRW($A$1,$C19,$B19,AC$3,AC$1,AC$2,$A19)*$D19</f>
        <v>#VALUE!</v>
      </c>
      <c r="AD19" s="25" t="e">
        <f t="shared" ca="1" si="7"/>
        <v>#VALUE!</v>
      </c>
      <c r="AE19" s="171" t="e">
        <f ca="1">_xll.DBRW($A$1,$C19,$B19,AE$3,AE$1,AE$2,$A19)*$D19</f>
        <v>#VALUE!</v>
      </c>
      <c r="AF19" s="25" t="e">
        <f ca="1">_xll.DBRW($A$1,$C19,$B19,AF$3,AF$1,AF$2,$A19)*$D19</f>
        <v>#VALUE!</v>
      </c>
      <c r="AG19" s="25" t="e">
        <f t="shared" ca="1" si="8"/>
        <v>#VALUE!</v>
      </c>
      <c r="AH19" s="171" t="e">
        <f ca="1">_xll.DBRW($A$1,$C19,$B19,AH$3,AH$1,AH$2,$A19)*$D19</f>
        <v>#VALUE!</v>
      </c>
      <c r="AI19" s="25" t="e">
        <f ca="1">_xll.DBRW($A$1,$C19,$B19,AI$3,AI$1,AI$2,$A19)*$D19</f>
        <v>#VALUE!</v>
      </c>
      <c r="AJ19" s="25" t="e">
        <f t="shared" ca="1" si="9"/>
        <v>#VALUE!</v>
      </c>
      <c r="AK19" s="171" t="e">
        <f ca="1">_xll.DBRW($A$1,$C19,$B19,AK$3,AK$1,AK$2,$A19)*$D19</f>
        <v>#VALUE!</v>
      </c>
      <c r="AL19" s="25" t="e">
        <f ca="1">_xll.DBRW($A$1,$C19,$B19,AL$3,AL$1,AL$2,$A19)*$D19</f>
        <v>#VALUE!</v>
      </c>
      <c r="AM19" s="25" t="e">
        <f t="shared" ca="1" si="10"/>
        <v>#VALUE!</v>
      </c>
    </row>
    <row r="20" spans="1:39" ht="15" customHeight="1">
      <c r="A20" s="170" t="s">
        <v>328</v>
      </c>
      <c r="B20" s="169" t="s">
        <v>366</v>
      </c>
      <c r="C20" s="168" t="s">
        <v>133</v>
      </c>
      <c r="D20" s="168">
        <v>-1</v>
      </c>
      <c r="E20" s="167" t="str">
        <f ca="1">_xll.DBRA("mfc:skz",B20,"Group")</f>
        <v>Sales</v>
      </c>
      <c r="F20" s="194" t="s">
        <v>313</v>
      </c>
      <c r="G20" s="171" t="e">
        <f ca="1">_xll.DBRW($A$1,$C20,$B20,G$3,G$1,G$2,$A20)*$D20</f>
        <v>#VALUE!</v>
      </c>
      <c r="H20" s="25" t="e">
        <f ca="1">_xll.DBRW($A$1,$C20,$B20,H$3,H$1,H$2,$A20)*$D20</f>
        <v>#VALUE!</v>
      </c>
      <c r="I20" s="25" t="e">
        <f t="shared" ca="1" si="0"/>
        <v>#VALUE!</v>
      </c>
      <c r="J20" s="171" t="e">
        <f ca="1">_xll.DBRW($A$1,$C20,$B20,J$3,J$1,J$2,$A20)*$D20</f>
        <v>#VALUE!</v>
      </c>
      <c r="K20" s="25" t="e">
        <f ca="1">_xll.DBRW($A$1,$C20,$B20,K$3,K$1,K$2,$A20)*$D20</f>
        <v>#VALUE!</v>
      </c>
      <c r="L20" s="25" t="e">
        <f t="shared" ca="1" si="1"/>
        <v>#VALUE!</v>
      </c>
      <c r="M20" s="171" t="e">
        <f ca="1">_xll.DBRW($A$1,$C20,$B20,M$3,M$1,M$2,$A20)*$D20</f>
        <v>#VALUE!</v>
      </c>
      <c r="N20" s="25" t="e">
        <f ca="1">_xll.DBRW($A$1,$C20,$B20,N$3,N$1,N$2,$A20)*$D20</f>
        <v>#VALUE!</v>
      </c>
      <c r="O20" s="25" t="e">
        <f t="shared" ca="1" si="2"/>
        <v>#VALUE!</v>
      </c>
      <c r="P20" s="171" t="e">
        <f ca="1">_xll.DBRW($A$1,$C20,$B20,P$3,P$1,P$2,$A20)*$D20</f>
        <v>#VALUE!</v>
      </c>
      <c r="Q20" s="25" t="e">
        <f ca="1">_xll.DBRW($A$1,$C20,$B20,Q$3,Q$1,Q$2,$A20)*$D20</f>
        <v>#VALUE!</v>
      </c>
      <c r="R20" s="25" t="e">
        <f t="shared" ca="1" si="3"/>
        <v>#VALUE!</v>
      </c>
      <c r="S20" s="171" t="e">
        <f ca="1">_xll.DBRW($A$1,$C20,$B20,S$3,S$1,S$2,$A20)*$D20</f>
        <v>#VALUE!</v>
      </c>
      <c r="T20" s="25" t="e">
        <f ca="1">_xll.DBRW($A$1,$C20,$B20,T$3,T$1,T$2,$A20)*$D20</f>
        <v>#VALUE!</v>
      </c>
      <c r="U20" s="25" t="e">
        <f t="shared" ca="1" si="4"/>
        <v>#VALUE!</v>
      </c>
      <c r="V20" s="171" t="e">
        <f ca="1">_xll.DBRW($A$1,$C20,$B20,V$3,V$1,V$2,$A20)*$D20</f>
        <v>#VALUE!</v>
      </c>
      <c r="W20" s="25" t="e">
        <f ca="1">_xll.DBRW($A$1,$C20,$B20,W$3,W$1,W$2,$A20)*$D20</f>
        <v>#VALUE!</v>
      </c>
      <c r="X20" s="25" t="e">
        <f t="shared" ca="1" si="5"/>
        <v>#VALUE!</v>
      </c>
      <c r="Y20" s="171" t="e">
        <f ca="1">_xll.DBRW($A$1,$C20,$B20,Y$3,Y$1,Y$2,$A20)*$D20</f>
        <v>#VALUE!</v>
      </c>
      <c r="Z20" s="25" t="e">
        <f ca="1">_xll.DBRW($A$1,$C20,$B20,Z$3,Z$1,Z$2,$A20)*$D20</f>
        <v>#VALUE!</v>
      </c>
      <c r="AA20" s="25" t="e">
        <f t="shared" ca="1" si="6"/>
        <v>#VALUE!</v>
      </c>
      <c r="AB20" s="171" t="e">
        <f ca="1">_xll.DBRW($A$1,$C20,$B20,AB$3,AB$1,AB$2,$A20)*$D20</f>
        <v>#VALUE!</v>
      </c>
      <c r="AC20" s="25" t="e">
        <f ca="1">_xll.DBRW($A$1,$C20,$B20,AC$3,AC$1,AC$2,$A20)*$D20</f>
        <v>#VALUE!</v>
      </c>
      <c r="AD20" s="25" t="e">
        <f t="shared" ca="1" si="7"/>
        <v>#VALUE!</v>
      </c>
      <c r="AE20" s="171" t="e">
        <f ca="1">_xll.DBRW($A$1,$C20,$B20,AE$3,AE$1,AE$2,$A20)*$D20</f>
        <v>#VALUE!</v>
      </c>
      <c r="AF20" s="25" t="e">
        <f ca="1">_xll.DBRW($A$1,$C20,$B20,AF$3,AF$1,AF$2,$A20)*$D20</f>
        <v>#VALUE!</v>
      </c>
      <c r="AG20" s="25" t="e">
        <f t="shared" ca="1" si="8"/>
        <v>#VALUE!</v>
      </c>
      <c r="AH20" s="171" t="e">
        <f ca="1">_xll.DBRW($A$1,$C20,$B20,AH$3,AH$1,AH$2,$A20)*$D20</f>
        <v>#VALUE!</v>
      </c>
      <c r="AI20" s="25" t="e">
        <f ca="1">_xll.DBRW($A$1,$C20,$B20,AI$3,AI$1,AI$2,$A20)*$D20</f>
        <v>#VALUE!</v>
      </c>
      <c r="AJ20" s="25" t="e">
        <f t="shared" ca="1" si="9"/>
        <v>#VALUE!</v>
      </c>
      <c r="AK20" s="171" t="e">
        <f ca="1">_xll.DBRW($A$1,$C20,$B20,AK$3,AK$1,AK$2,$A20)*$D20</f>
        <v>#VALUE!</v>
      </c>
      <c r="AL20" s="25" t="e">
        <f ca="1">_xll.DBRW($A$1,$C20,$B20,AL$3,AL$1,AL$2,$A20)*$D20</f>
        <v>#VALUE!</v>
      </c>
      <c r="AM20" s="25" t="e">
        <f t="shared" ca="1" si="10"/>
        <v>#VALUE!</v>
      </c>
    </row>
    <row r="21" spans="1:39" ht="15" customHeight="1">
      <c r="A21" s="170" t="s">
        <v>328</v>
      </c>
      <c r="B21" s="169" t="s">
        <v>365</v>
      </c>
      <c r="C21" s="168" t="s">
        <v>133</v>
      </c>
      <c r="D21" s="168">
        <v>-1</v>
      </c>
      <c r="E21" s="167" t="str">
        <f ca="1">_xll.DBRA("mfc:skz",B21,"Group")</f>
        <v>Other Items (IR)</v>
      </c>
      <c r="F21" s="220" t="s">
        <v>312</v>
      </c>
      <c r="G21" s="219" t="e">
        <f ca="1">_xll.DBRW($A$1,$C21,$B21,G$3,G$1,G$2,$A21)*$D21</f>
        <v>#VALUE!</v>
      </c>
      <c r="H21" s="25" t="e">
        <f ca="1">_xll.DBRW($A$1,$C21,$B21,H$3,H$1,H$2,$A21)*$D21</f>
        <v>#VALUE!</v>
      </c>
      <c r="I21" s="25" t="e">
        <f t="shared" ca="1" si="0"/>
        <v>#VALUE!</v>
      </c>
      <c r="J21" s="219" t="e">
        <f ca="1">_xll.DBRW($A$1,$C21,$B21,J$3,J$1,J$2,$A21)*$D21</f>
        <v>#VALUE!</v>
      </c>
      <c r="K21" s="25" t="e">
        <f ca="1">_xll.DBRW($A$1,$C21,$B21,K$3,K$1,K$2,$A21)*$D21</f>
        <v>#VALUE!</v>
      </c>
      <c r="L21" s="25" t="e">
        <f t="shared" ca="1" si="1"/>
        <v>#VALUE!</v>
      </c>
      <c r="M21" s="219" t="e">
        <f ca="1">_xll.DBRW($A$1,$C21,$B21,M$3,M$1,M$2,$A21)*$D21</f>
        <v>#VALUE!</v>
      </c>
      <c r="N21" s="25" t="e">
        <f ca="1">_xll.DBRW($A$1,$C21,$B21,N$3,N$1,N$2,$A21)*$D21</f>
        <v>#VALUE!</v>
      </c>
      <c r="O21" s="25" t="e">
        <f t="shared" ca="1" si="2"/>
        <v>#VALUE!</v>
      </c>
      <c r="P21" s="219" t="e">
        <f ca="1">_xll.DBRW($A$1,$C21,$B21,P$3,P$1,P$2,$A21)*$D21</f>
        <v>#VALUE!</v>
      </c>
      <c r="Q21" s="25" t="e">
        <f ca="1">_xll.DBRW($A$1,$C21,$B21,Q$3,Q$1,Q$2,$A21)*$D21</f>
        <v>#VALUE!</v>
      </c>
      <c r="R21" s="25" t="e">
        <f t="shared" ca="1" si="3"/>
        <v>#VALUE!</v>
      </c>
      <c r="S21" s="219" t="e">
        <f ca="1">_xll.DBRW($A$1,$C21,$B21,S$3,S$1,S$2,$A21)*$D21</f>
        <v>#VALUE!</v>
      </c>
      <c r="T21" s="25" t="e">
        <f ca="1">_xll.DBRW($A$1,$C21,$B21,T$3,T$1,T$2,$A21)*$D21</f>
        <v>#VALUE!</v>
      </c>
      <c r="U21" s="25" t="e">
        <f t="shared" ca="1" si="4"/>
        <v>#VALUE!</v>
      </c>
      <c r="V21" s="219" t="e">
        <f ca="1">_xll.DBRW($A$1,$C21,$B21,V$3,V$1,V$2,$A21)*$D21</f>
        <v>#VALUE!</v>
      </c>
      <c r="W21" s="25" t="e">
        <f ca="1">_xll.DBRW($A$1,$C21,$B21,W$3,W$1,W$2,$A21)*$D21</f>
        <v>#VALUE!</v>
      </c>
      <c r="X21" s="25" t="e">
        <f t="shared" ca="1" si="5"/>
        <v>#VALUE!</v>
      </c>
      <c r="Y21" s="219" t="e">
        <f ca="1">_xll.DBRW($A$1,$C21,$B21,Y$3,Y$1,Y$2,$A21)*$D21</f>
        <v>#VALUE!</v>
      </c>
      <c r="Z21" s="25" t="e">
        <f ca="1">_xll.DBRW($A$1,$C21,$B21,Z$3,Z$1,Z$2,$A21)*$D21</f>
        <v>#VALUE!</v>
      </c>
      <c r="AA21" s="25" t="e">
        <f t="shared" ca="1" si="6"/>
        <v>#VALUE!</v>
      </c>
      <c r="AB21" s="219" t="e">
        <f ca="1">_xll.DBRW($A$1,$C21,$B21,AB$3,AB$1,AB$2,$A21)*$D21</f>
        <v>#VALUE!</v>
      </c>
      <c r="AC21" s="25" t="e">
        <f ca="1">_xll.DBRW($A$1,$C21,$B21,AC$3,AC$1,AC$2,$A21)*$D21</f>
        <v>#VALUE!</v>
      </c>
      <c r="AD21" s="25" t="e">
        <f t="shared" ca="1" si="7"/>
        <v>#VALUE!</v>
      </c>
      <c r="AE21" s="219" t="e">
        <f ca="1">_xll.DBRW($A$1,$C21,$B21,AE$3,AE$1,AE$2,$A21)*$D21</f>
        <v>#VALUE!</v>
      </c>
      <c r="AF21" s="25" t="e">
        <f ca="1">_xll.DBRW($A$1,$C21,$B21,AF$3,AF$1,AF$2,$A21)*$D21</f>
        <v>#VALUE!</v>
      </c>
      <c r="AG21" s="25" t="e">
        <f t="shared" ca="1" si="8"/>
        <v>#VALUE!</v>
      </c>
      <c r="AH21" s="219" t="e">
        <f ca="1">_xll.DBRW($A$1,$C21,$B21,AH$3,AH$1,AH$2,$A21)*$D21</f>
        <v>#VALUE!</v>
      </c>
      <c r="AI21" s="25" t="e">
        <f ca="1">_xll.DBRW($A$1,$C21,$B21,AI$3,AI$1,AI$2,$A21)*$D21</f>
        <v>#VALUE!</v>
      </c>
      <c r="AJ21" s="25" t="e">
        <f t="shared" ca="1" si="9"/>
        <v>#VALUE!</v>
      </c>
      <c r="AK21" s="219" t="e">
        <f ca="1">_xll.DBRW($A$1,$C21,$B21,AK$3,AK$1,AK$2,$A21)*$D21</f>
        <v>#VALUE!</v>
      </c>
      <c r="AL21" s="25" t="e">
        <f ca="1">_xll.DBRW($A$1,$C21,$B21,AL$3,AL$1,AL$2,$A21)*$D21</f>
        <v>#VALUE!</v>
      </c>
      <c r="AM21" s="25" t="e">
        <f t="shared" ca="1" si="10"/>
        <v>#VALUE!</v>
      </c>
    </row>
    <row r="22" spans="1:39" ht="15" customHeight="1">
      <c r="A22" s="170" t="s">
        <v>319</v>
      </c>
      <c r="B22" s="169" t="s">
        <v>347</v>
      </c>
      <c r="C22" s="168" t="s">
        <v>133</v>
      </c>
      <c r="D22" s="168">
        <v>1</v>
      </c>
      <c r="E22" s="167" t="str">
        <f ca="1">_xll.DBRA("mfc:skz",B22,"Group")</f>
        <v>Inventory Effect</v>
      </c>
      <c r="F22" s="65" t="s">
        <v>136</v>
      </c>
      <c r="G22" s="218" t="e">
        <f ca="1">_xll.DBRW($A$1,$C22,$B22,G$3,G$1,G$2,$A22)*$D22</f>
        <v>#VALUE!</v>
      </c>
      <c r="H22" s="64" t="e">
        <f ca="1">_xll.DBRW($A$1,$C22,$B22,H$3,H$1,H$2,$A22)*$D22</f>
        <v>#VALUE!</v>
      </c>
      <c r="I22" s="64" t="e">
        <f t="shared" ca="1" si="0"/>
        <v>#VALUE!</v>
      </c>
      <c r="J22" s="218" t="e">
        <f ca="1">_xll.DBRW($A$1,$C22,$B22,J$3,J$1,J$2,$A22)*$D22</f>
        <v>#VALUE!</v>
      </c>
      <c r="K22" s="64" t="e">
        <f ca="1">_xll.DBRW($A$1,$C22,$B22,K$3,K$1,K$2,$A22)*$D22</f>
        <v>#VALUE!</v>
      </c>
      <c r="L22" s="64" t="e">
        <f t="shared" ca="1" si="1"/>
        <v>#VALUE!</v>
      </c>
      <c r="M22" s="218" t="e">
        <f ca="1">_xll.DBRW($A$1,$C22,$B22,M$3,M$1,M$2,$A22)*$D22</f>
        <v>#VALUE!</v>
      </c>
      <c r="N22" s="64" t="e">
        <f ca="1">_xll.DBRW($A$1,$C22,$B22,N$3,N$1,N$2,$A22)*$D22</f>
        <v>#VALUE!</v>
      </c>
      <c r="O22" s="64" t="e">
        <f t="shared" ca="1" si="2"/>
        <v>#VALUE!</v>
      </c>
      <c r="P22" s="218" t="e">
        <f ca="1">_xll.DBRW($A$1,$C22,$B22,P$3,P$1,P$2,$A22)*$D22</f>
        <v>#VALUE!</v>
      </c>
      <c r="Q22" s="64" t="e">
        <f ca="1">_xll.DBRW($A$1,$C22,$B22,Q$3,Q$1,Q$2,$A22)*$D22</f>
        <v>#VALUE!</v>
      </c>
      <c r="R22" s="64" t="e">
        <f t="shared" ca="1" si="3"/>
        <v>#VALUE!</v>
      </c>
      <c r="S22" s="218" t="e">
        <f ca="1">_xll.DBRW($A$1,$C22,$B22,S$3,S$1,S$2,$A22)*$D22</f>
        <v>#VALUE!</v>
      </c>
      <c r="T22" s="64" t="e">
        <f ca="1">_xll.DBRW($A$1,$C22,$B22,T$3,T$1,T$2,$A22)*$D22</f>
        <v>#VALUE!</v>
      </c>
      <c r="U22" s="64" t="e">
        <f t="shared" ca="1" si="4"/>
        <v>#VALUE!</v>
      </c>
      <c r="V22" s="218" t="e">
        <f ca="1">_xll.DBRW($A$1,$C22,$B22,V$3,V$1,V$2,$A22)*$D22</f>
        <v>#VALUE!</v>
      </c>
      <c r="W22" s="64" t="e">
        <f ca="1">_xll.DBRW($A$1,$C22,$B22,W$3,W$1,W$2,$A22)*$D22</f>
        <v>#VALUE!</v>
      </c>
      <c r="X22" s="64" t="e">
        <f t="shared" ca="1" si="5"/>
        <v>#VALUE!</v>
      </c>
      <c r="Y22" s="218" t="e">
        <f ca="1">_xll.DBRW($A$1,$C22,$B22,Y$3,Y$1,Y$2,$A22)*$D22</f>
        <v>#VALUE!</v>
      </c>
      <c r="Z22" s="64" t="e">
        <f ca="1">_xll.DBRW($A$1,$C22,$B22,Z$3,Z$1,Z$2,$A22)*$D22</f>
        <v>#VALUE!</v>
      </c>
      <c r="AA22" s="64" t="e">
        <f t="shared" ca="1" si="6"/>
        <v>#VALUE!</v>
      </c>
      <c r="AB22" s="218" t="e">
        <f ca="1">_xll.DBRW($A$1,$C22,$B22,AB$3,AB$1,AB$2,$A22)*$D22</f>
        <v>#VALUE!</v>
      </c>
      <c r="AC22" s="64" t="e">
        <f ca="1">_xll.DBRW($A$1,$C22,$B22,AC$3,AC$1,AC$2,$A22)*$D22</f>
        <v>#VALUE!</v>
      </c>
      <c r="AD22" s="64" t="e">
        <f t="shared" ca="1" si="7"/>
        <v>#VALUE!</v>
      </c>
      <c r="AE22" s="218" t="e">
        <f ca="1">_xll.DBRW($A$1,$C22,$B22,AE$3,AE$1,AE$2,$A22)*$D22</f>
        <v>#VALUE!</v>
      </c>
      <c r="AF22" s="64" t="e">
        <f ca="1">_xll.DBRW($A$1,$C22,$B22,AF$3,AF$1,AF$2,$A22)*$D22</f>
        <v>#VALUE!</v>
      </c>
      <c r="AG22" s="64" t="e">
        <f t="shared" ca="1" si="8"/>
        <v>#VALUE!</v>
      </c>
      <c r="AH22" s="218" t="e">
        <f ca="1">_xll.DBRW($A$1,$C22,$B22,AH$3,AH$1,AH$2,$A22)*$D22</f>
        <v>#VALUE!</v>
      </c>
      <c r="AI22" s="64" t="e">
        <f ca="1">_xll.DBRW($A$1,$C22,$B22,AI$3,AI$1,AI$2,$A22)*$D22</f>
        <v>#VALUE!</v>
      </c>
      <c r="AJ22" s="64" t="e">
        <f t="shared" ca="1" si="9"/>
        <v>#VALUE!</v>
      </c>
      <c r="AK22" s="218" t="e">
        <f ca="1">_xll.DBRW($A$1,$C22,$B22,AK$3,AK$1,AK$2,$A22)*$D22</f>
        <v>#VALUE!</v>
      </c>
      <c r="AL22" s="64" t="e">
        <f ca="1">_xll.DBRW($A$1,$C22,$B22,AL$3,AL$1,AL$2,$A22)*$D22</f>
        <v>#VALUE!</v>
      </c>
      <c r="AM22" s="64" t="e">
        <f t="shared" ca="1" si="10"/>
        <v>#VALUE!</v>
      </c>
    </row>
    <row r="23" spans="1:39" ht="15" customHeight="1">
      <c r="A23" s="170" t="s">
        <v>325</v>
      </c>
      <c r="B23" s="169" t="s">
        <v>339</v>
      </c>
      <c r="C23" s="168" t="s">
        <v>133</v>
      </c>
      <c r="D23" s="168">
        <v>1</v>
      </c>
      <c r="E23" s="167" t="str">
        <f ca="1">_xll.DBRA("mfc:skz",B23,"Group")</f>
        <v>Clean EBIT CCS</v>
      </c>
      <c r="F23" s="65" t="s">
        <v>311</v>
      </c>
      <c r="G23" s="218" t="e">
        <f ca="1">_xll.DBRW($A$1,$C23,$B23,G$3,G$1,G$2,$A23)*$D23</f>
        <v>#VALUE!</v>
      </c>
      <c r="H23" s="64" t="e">
        <f ca="1">_xll.DBRW($A$1,$C23,$B23,H$3,H$1,H$2,$A23)*$D23</f>
        <v>#VALUE!</v>
      </c>
      <c r="I23" s="64" t="e">
        <f t="shared" ca="1" si="0"/>
        <v>#VALUE!</v>
      </c>
      <c r="J23" s="218" t="e">
        <f ca="1">_xll.DBRW($A$1,$C23,$B23,J$3,J$1,J$2,$A23)*$D23</f>
        <v>#VALUE!</v>
      </c>
      <c r="K23" s="64" t="e">
        <f ca="1">_xll.DBRW($A$1,$C23,$B23,K$3,K$1,K$2,$A23)*$D23</f>
        <v>#VALUE!</v>
      </c>
      <c r="L23" s="64" t="e">
        <f t="shared" ca="1" si="1"/>
        <v>#VALUE!</v>
      </c>
      <c r="M23" s="218" t="e">
        <f ca="1">_xll.DBRW($A$1,$C23,$B23,M$3,M$1,M$2,$A23)*$D23</f>
        <v>#VALUE!</v>
      </c>
      <c r="N23" s="64" t="e">
        <f ca="1">_xll.DBRW($A$1,$C23,$B23,N$3,N$1,N$2,$A23)*$D23</f>
        <v>#VALUE!</v>
      </c>
      <c r="O23" s="64" t="e">
        <f t="shared" ca="1" si="2"/>
        <v>#VALUE!</v>
      </c>
      <c r="P23" s="218" t="e">
        <f ca="1">_xll.DBRW($A$1,$C23,$B23,P$3,P$1,P$2,$A23)*$D23</f>
        <v>#VALUE!</v>
      </c>
      <c r="Q23" s="64" t="e">
        <f ca="1">_xll.DBRW($A$1,$C23,$B23,Q$3,Q$1,Q$2,$A23)*$D23</f>
        <v>#VALUE!</v>
      </c>
      <c r="R23" s="64" t="e">
        <f t="shared" ca="1" si="3"/>
        <v>#VALUE!</v>
      </c>
      <c r="S23" s="218" t="e">
        <f ca="1">_xll.DBRW($A$1,$C23,$B23,S$3,S$1,S$2,$A23)*$D23</f>
        <v>#VALUE!</v>
      </c>
      <c r="T23" s="64" t="e">
        <f ca="1">_xll.DBRW($A$1,$C23,$B23,T$3,T$1,T$2,$A23)*$D23</f>
        <v>#VALUE!</v>
      </c>
      <c r="U23" s="64" t="e">
        <f t="shared" ca="1" si="4"/>
        <v>#VALUE!</v>
      </c>
      <c r="V23" s="218" t="e">
        <f ca="1">_xll.DBRW($A$1,$C23,$B23,V$3,V$1,V$2,$A23)*$D23</f>
        <v>#VALUE!</v>
      </c>
      <c r="W23" s="64" t="e">
        <f ca="1">_xll.DBRW($A$1,$C23,$B23,W$3,W$1,W$2,$A23)*$D23</f>
        <v>#VALUE!</v>
      </c>
      <c r="X23" s="64" t="e">
        <f t="shared" ca="1" si="5"/>
        <v>#VALUE!</v>
      </c>
      <c r="Y23" s="218" t="e">
        <f ca="1">_xll.DBRW($A$1,$C23,$B23,Y$3,Y$1,Y$2,$A23)*$D23</f>
        <v>#VALUE!</v>
      </c>
      <c r="Z23" s="64" t="e">
        <f ca="1">_xll.DBRW($A$1,$C23,$B23,Z$3,Z$1,Z$2,$A23)*$D23</f>
        <v>#VALUE!</v>
      </c>
      <c r="AA23" s="64" t="e">
        <f t="shared" ca="1" si="6"/>
        <v>#VALUE!</v>
      </c>
      <c r="AB23" s="218" t="e">
        <f ca="1">_xll.DBRW($A$1,$C23,$B23,AB$3,AB$1,AB$2,$A23)*$D23</f>
        <v>#VALUE!</v>
      </c>
      <c r="AC23" s="64" t="e">
        <f ca="1">_xll.DBRW($A$1,$C23,$B23,AC$3,AC$1,AC$2,$A23)*$D23</f>
        <v>#VALUE!</v>
      </c>
      <c r="AD23" s="64" t="e">
        <f t="shared" ca="1" si="7"/>
        <v>#VALUE!</v>
      </c>
      <c r="AE23" s="218" t="e">
        <f ca="1">_xll.DBRW($A$1,$C23,$B23,AE$3,AE$1,AE$2,$A23)*$D23</f>
        <v>#VALUE!</v>
      </c>
      <c r="AF23" s="64" t="e">
        <f ca="1">_xll.DBRW($A$1,$C23,$B23,AF$3,AF$1,AF$2,$A23)*$D23</f>
        <v>#VALUE!</v>
      </c>
      <c r="AG23" s="64" t="e">
        <f t="shared" ca="1" si="8"/>
        <v>#VALUE!</v>
      </c>
      <c r="AH23" s="218" t="e">
        <f ca="1">_xll.DBRW($A$1,$C23,$B23,AH$3,AH$1,AH$2,$A23)*$D23</f>
        <v>#VALUE!</v>
      </c>
      <c r="AI23" s="64" t="e">
        <f ca="1">_xll.DBRW($A$1,$C23,$B23,AI$3,AI$1,AI$2,$A23)*$D23</f>
        <v>#VALUE!</v>
      </c>
      <c r="AJ23" s="64" t="e">
        <f t="shared" ca="1" si="9"/>
        <v>#VALUE!</v>
      </c>
      <c r="AK23" s="218" t="e">
        <f ca="1">_xll.DBRW($A$1,$C23,$B23,AK$3,AK$1,AK$2,$A23)*$D23</f>
        <v>#VALUE!</v>
      </c>
      <c r="AL23" s="64" t="e">
        <f ca="1">_xll.DBRW($A$1,$C23,$B23,AL$3,AL$1,AL$2,$A23)*$D23</f>
        <v>#VALUE!</v>
      </c>
      <c r="AM23" s="64" t="e">
        <f t="shared" ca="1" si="10"/>
        <v>#VALUE!</v>
      </c>
    </row>
    <row r="24" spans="1:39" ht="15" customHeight="1">
      <c r="A24" s="170" t="s">
        <v>324</v>
      </c>
      <c r="B24" s="169" t="s">
        <v>339</v>
      </c>
      <c r="C24" s="168" t="s">
        <v>133</v>
      </c>
      <c r="D24" s="168">
        <v>1</v>
      </c>
      <c r="E24" s="167" t="str">
        <f ca="1">_xll.DBRA("mfc:skz",B24,"Group")</f>
        <v>Clean EBIT CCS</v>
      </c>
      <c r="F24" s="34" t="s">
        <v>310</v>
      </c>
      <c r="G24" s="171" t="e">
        <f ca="1">_xll.DBRW($A$1,$C24,$B24,G$3,G$1,G$2,$A24)*$D24</f>
        <v>#VALUE!</v>
      </c>
      <c r="H24" s="25" t="e">
        <f ca="1">_xll.DBRW($A$1,$C24,$B24,H$3,H$1,H$2,$A24)*$D24</f>
        <v>#VALUE!</v>
      </c>
      <c r="I24" s="25" t="e">
        <f t="shared" ca="1" si="0"/>
        <v>#VALUE!</v>
      </c>
      <c r="J24" s="171" t="e">
        <f ca="1">_xll.DBRW($A$1,$C24,$B24,J$3,J$1,J$2,$A24)*$D24</f>
        <v>#VALUE!</v>
      </c>
      <c r="K24" s="25" t="e">
        <f ca="1">_xll.DBRW($A$1,$C24,$B24,K$3,K$1,K$2,$A24)*$D24</f>
        <v>#VALUE!</v>
      </c>
      <c r="L24" s="25" t="e">
        <f t="shared" ca="1" si="1"/>
        <v>#VALUE!</v>
      </c>
      <c r="M24" s="171" t="e">
        <f ca="1">_xll.DBRW($A$1,$C24,$B24,M$3,M$1,M$2,$A24)*$D24</f>
        <v>#VALUE!</v>
      </c>
      <c r="N24" s="25" t="e">
        <f ca="1">_xll.DBRW($A$1,$C24,$B24,N$3,N$1,N$2,$A24)*$D24</f>
        <v>#VALUE!</v>
      </c>
      <c r="O24" s="25" t="e">
        <f t="shared" ca="1" si="2"/>
        <v>#VALUE!</v>
      </c>
      <c r="P24" s="171" t="e">
        <f ca="1">_xll.DBRW($A$1,$C24,$B24,P$3,P$1,P$2,$A24)*$D24</f>
        <v>#VALUE!</v>
      </c>
      <c r="Q24" s="25" t="e">
        <f ca="1">_xll.DBRW($A$1,$C24,$B24,Q$3,Q$1,Q$2,$A24)*$D24</f>
        <v>#VALUE!</v>
      </c>
      <c r="R24" s="25" t="e">
        <f t="shared" ca="1" si="3"/>
        <v>#VALUE!</v>
      </c>
      <c r="S24" s="171" t="e">
        <f ca="1">_xll.DBRW($A$1,$C24,$B24,S$3,S$1,S$2,$A24)*$D24</f>
        <v>#VALUE!</v>
      </c>
      <c r="T24" s="25" t="e">
        <f ca="1">_xll.DBRW($A$1,$C24,$B24,T$3,T$1,T$2,$A24)*$D24</f>
        <v>#VALUE!</v>
      </c>
      <c r="U24" s="25" t="e">
        <f t="shared" ca="1" si="4"/>
        <v>#VALUE!</v>
      </c>
      <c r="V24" s="171" t="e">
        <f ca="1">_xll.DBRW($A$1,$C24,$B24,V$3,V$1,V$2,$A24)*$D24</f>
        <v>#VALUE!</v>
      </c>
      <c r="W24" s="25" t="e">
        <f ca="1">_xll.DBRW($A$1,$C24,$B24,W$3,W$1,W$2,$A24)*$D24</f>
        <v>#VALUE!</v>
      </c>
      <c r="X24" s="25" t="e">
        <f t="shared" ca="1" si="5"/>
        <v>#VALUE!</v>
      </c>
      <c r="Y24" s="171" t="e">
        <f ca="1">_xll.DBRW($A$1,$C24,$B24,Y$3,Y$1,Y$2,$A24)*$D24</f>
        <v>#VALUE!</v>
      </c>
      <c r="Z24" s="25" t="e">
        <f ca="1">_xll.DBRW($A$1,$C24,$B24,Z$3,Z$1,Z$2,$A24)*$D24</f>
        <v>#VALUE!</v>
      </c>
      <c r="AA24" s="25" t="e">
        <f t="shared" ca="1" si="6"/>
        <v>#VALUE!</v>
      </c>
      <c r="AB24" s="171" t="e">
        <f ca="1">_xll.DBRW($A$1,$C24,$B24,AB$3,AB$1,AB$2,$A24)*$D24</f>
        <v>#VALUE!</v>
      </c>
      <c r="AC24" s="25" t="e">
        <f ca="1">_xll.DBRW($A$1,$C24,$B24,AC$3,AC$1,AC$2,$A24)*$D24</f>
        <v>#VALUE!</v>
      </c>
      <c r="AD24" s="25" t="e">
        <f t="shared" ca="1" si="7"/>
        <v>#VALUE!</v>
      </c>
      <c r="AE24" s="171" t="e">
        <f ca="1">_xll.DBRW($A$1,$C24,$B24,AE$3,AE$1,AE$2,$A24)*$D24</f>
        <v>#VALUE!</v>
      </c>
      <c r="AF24" s="25" t="e">
        <f ca="1">_xll.DBRW($A$1,$C24,$B24,AF$3,AF$1,AF$2,$A24)*$D24</f>
        <v>#VALUE!</v>
      </c>
      <c r="AG24" s="25" t="e">
        <f t="shared" ca="1" si="8"/>
        <v>#VALUE!</v>
      </c>
      <c r="AH24" s="171" t="e">
        <f ca="1">_xll.DBRW($A$1,$C24,$B24,AH$3,AH$1,AH$2,$A24)*$D24</f>
        <v>#VALUE!</v>
      </c>
      <c r="AI24" s="25" t="e">
        <f ca="1">_xll.DBRW($A$1,$C24,$B24,AI$3,AI$1,AI$2,$A24)*$D24</f>
        <v>#VALUE!</v>
      </c>
      <c r="AJ24" s="25" t="e">
        <f t="shared" ca="1" si="9"/>
        <v>#VALUE!</v>
      </c>
      <c r="AK24" s="171" t="e">
        <f ca="1">_xll.DBRW($A$1,$C24,$B24,AK$3,AK$1,AK$2,$A24)*$D24</f>
        <v>#VALUE!</v>
      </c>
      <c r="AL24" s="25" t="e">
        <f ca="1">_xll.DBRW($A$1,$C24,$B24,AL$3,AL$1,AL$2,$A24)*$D24</f>
        <v>#VALUE!</v>
      </c>
      <c r="AM24" s="25" t="e">
        <f t="shared" ca="1" si="10"/>
        <v>#VALUE!</v>
      </c>
    </row>
    <row r="25" spans="1:39" ht="15" customHeight="1">
      <c r="A25" s="170" t="s">
        <v>321</v>
      </c>
      <c r="B25" s="169" t="s">
        <v>339</v>
      </c>
      <c r="C25" s="168" t="s">
        <v>133</v>
      </c>
      <c r="D25" s="168">
        <v>1</v>
      </c>
      <c r="E25" s="167" t="str">
        <f ca="1">_xll.DBRA("mfc:skz",B25,"Group")</f>
        <v>Clean EBIT CCS</v>
      </c>
      <c r="F25" s="34" t="s">
        <v>309</v>
      </c>
      <c r="G25" s="171" t="e">
        <f ca="1">_xll.DBRW($A$1,$C25,$B25,G$3,G$1,G$2,$A25)*$D25</f>
        <v>#VALUE!</v>
      </c>
      <c r="H25" s="25" t="e">
        <f ca="1">_xll.DBRW($A$1,$C25,$B25,H$3,H$1,H$2,$A25)*$D25</f>
        <v>#VALUE!</v>
      </c>
      <c r="I25" s="25" t="e">
        <f t="shared" ca="1" si="0"/>
        <v>#VALUE!</v>
      </c>
      <c r="J25" s="171" t="e">
        <f ca="1">_xll.DBRW($A$1,$C25,$B25,J$3,J$1,J$2,$A25)*$D25</f>
        <v>#VALUE!</v>
      </c>
      <c r="K25" s="25" t="e">
        <f ca="1">_xll.DBRW($A$1,$C25,$B25,K$3,K$1,K$2,$A25)*$D25</f>
        <v>#VALUE!</v>
      </c>
      <c r="L25" s="25" t="e">
        <f t="shared" ca="1" si="1"/>
        <v>#VALUE!</v>
      </c>
      <c r="M25" s="171" t="e">
        <f ca="1">_xll.DBRW($A$1,$C25,$B25,M$3,M$1,M$2,$A25)*$D25</f>
        <v>#VALUE!</v>
      </c>
      <c r="N25" s="25" t="e">
        <f ca="1">_xll.DBRW($A$1,$C25,$B25,N$3,N$1,N$2,$A25)*$D25</f>
        <v>#VALUE!</v>
      </c>
      <c r="O25" s="25" t="e">
        <f t="shared" ca="1" si="2"/>
        <v>#VALUE!</v>
      </c>
      <c r="P25" s="171" t="e">
        <f ca="1">_xll.DBRW($A$1,$C25,$B25,P$3,P$1,P$2,$A25)*$D25</f>
        <v>#VALUE!</v>
      </c>
      <c r="Q25" s="25" t="e">
        <f ca="1">_xll.DBRW($A$1,$C25,$B25,Q$3,Q$1,Q$2,$A25)*$D25</f>
        <v>#VALUE!</v>
      </c>
      <c r="R25" s="25" t="e">
        <f t="shared" ca="1" si="3"/>
        <v>#VALUE!</v>
      </c>
      <c r="S25" s="171" t="e">
        <f ca="1">_xll.DBRW($A$1,$C25,$B25,S$3,S$1,S$2,$A25)*$D25</f>
        <v>#VALUE!</v>
      </c>
      <c r="T25" s="25" t="e">
        <f ca="1">_xll.DBRW($A$1,$C25,$B25,T$3,T$1,T$2,$A25)*$D25</f>
        <v>#VALUE!</v>
      </c>
      <c r="U25" s="25" t="e">
        <f t="shared" ca="1" si="4"/>
        <v>#VALUE!</v>
      </c>
      <c r="V25" s="171" t="e">
        <f ca="1">_xll.DBRW($A$1,$C25,$B25,V$3,V$1,V$2,$A25)*$D25</f>
        <v>#VALUE!</v>
      </c>
      <c r="W25" s="25" t="e">
        <f ca="1">_xll.DBRW($A$1,$C25,$B25,W$3,W$1,W$2,$A25)*$D25</f>
        <v>#VALUE!</v>
      </c>
      <c r="X25" s="25" t="e">
        <f t="shared" ca="1" si="5"/>
        <v>#VALUE!</v>
      </c>
      <c r="Y25" s="171" t="e">
        <f ca="1">_xll.DBRW($A$1,$C25,$B25,Y$3,Y$1,Y$2,$A25)*$D25</f>
        <v>#VALUE!</v>
      </c>
      <c r="Z25" s="25" t="e">
        <f ca="1">_xll.DBRW($A$1,$C25,$B25,Z$3,Z$1,Z$2,$A25)*$D25</f>
        <v>#VALUE!</v>
      </c>
      <c r="AA25" s="25" t="e">
        <f t="shared" ca="1" si="6"/>
        <v>#VALUE!</v>
      </c>
      <c r="AB25" s="171" t="e">
        <f ca="1">_xll.DBRW($A$1,$C25,$B25,AB$3,AB$1,AB$2,$A25)*$D25</f>
        <v>#VALUE!</v>
      </c>
      <c r="AC25" s="25" t="e">
        <f ca="1">_xll.DBRW($A$1,$C25,$B25,AC$3,AC$1,AC$2,$A25)*$D25</f>
        <v>#VALUE!</v>
      </c>
      <c r="AD25" s="25" t="e">
        <f t="shared" ca="1" si="7"/>
        <v>#VALUE!</v>
      </c>
      <c r="AE25" s="171" t="e">
        <f ca="1">_xll.DBRW($A$1,$C25,$B25,AE$3,AE$1,AE$2,$A25)*$D25</f>
        <v>#VALUE!</v>
      </c>
      <c r="AF25" s="25" t="e">
        <f ca="1">_xll.DBRW($A$1,$C25,$B25,AF$3,AF$1,AF$2,$A25)*$D25</f>
        <v>#VALUE!</v>
      </c>
      <c r="AG25" s="25" t="e">
        <f t="shared" ca="1" si="8"/>
        <v>#VALUE!</v>
      </c>
      <c r="AH25" s="171" t="e">
        <f ca="1">_xll.DBRW($A$1,$C25,$B25,AH$3,AH$1,AH$2,$A25)*$D25</f>
        <v>#VALUE!</v>
      </c>
      <c r="AI25" s="25" t="e">
        <f ca="1">_xll.DBRW($A$1,$C25,$B25,AI$3,AI$1,AI$2,$A25)*$D25</f>
        <v>#VALUE!</v>
      </c>
      <c r="AJ25" s="25" t="e">
        <f t="shared" ca="1" si="9"/>
        <v>#VALUE!</v>
      </c>
      <c r="AK25" s="171" t="e">
        <f ca="1">_xll.DBRW($A$1,$C25,$B25,AK$3,AK$1,AK$2,$A25)*$D25</f>
        <v>#VALUE!</v>
      </c>
      <c r="AL25" s="25" t="e">
        <f ca="1">_xll.DBRW($A$1,$C25,$B25,AL$3,AL$1,AL$2,$A25)*$D25</f>
        <v>#VALUE!</v>
      </c>
      <c r="AM25" s="25" t="e">
        <f t="shared" ca="1" si="10"/>
        <v>#VALUE!</v>
      </c>
    </row>
    <row r="26" spans="1:39" ht="15" customHeight="1">
      <c r="A26" s="170" t="s">
        <v>320</v>
      </c>
      <c r="B26" s="169" t="s">
        <v>339</v>
      </c>
      <c r="C26" s="168" t="s">
        <v>133</v>
      </c>
      <c r="D26" s="168">
        <v>1</v>
      </c>
      <c r="E26" s="167" t="str">
        <f ca="1">_xll.DBRA("mfc:skz",B26,"Group")</f>
        <v>Clean EBIT CCS</v>
      </c>
      <c r="F26" s="28" t="s">
        <v>4</v>
      </c>
      <c r="G26" s="171" t="e">
        <f ca="1">_xll.DBRW($A$1,$C26,$B26,G$3,G$1,G$2,$A26)*$D26</f>
        <v>#VALUE!</v>
      </c>
      <c r="H26" s="25" t="e">
        <f ca="1">_xll.DBRW($A$1,$C26,$B26,H$3,H$1,H$2,$A26)*$D26</f>
        <v>#VALUE!</v>
      </c>
      <c r="I26" s="25" t="e">
        <f t="shared" ca="1" si="0"/>
        <v>#VALUE!</v>
      </c>
      <c r="J26" s="171" t="e">
        <f ca="1">_xll.DBRW($A$1,$C26,$B26,J$3,J$1,J$2,$A26)*$D26</f>
        <v>#VALUE!</v>
      </c>
      <c r="K26" s="25" t="e">
        <f ca="1">_xll.DBRW($A$1,$C26,$B26,K$3,K$1,K$2,$A26)*$D26</f>
        <v>#VALUE!</v>
      </c>
      <c r="L26" s="25" t="e">
        <f t="shared" ca="1" si="1"/>
        <v>#VALUE!</v>
      </c>
      <c r="M26" s="171" t="e">
        <f ca="1">_xll.DBRW($A$1,$C26,$B26,M$3,M$1,M$2,$A26)*$D26</f>
        <v>#VALUE!</v>
      </c>
      <c r="N26" s="25" t="e">
        <f ca="1">_xll.DBRW($A$1,$C26,$B26,N$3,N$1,N$2,$A26)*$D26</f>
        <v>#VALUE!</v>
      </c>
      <c r="O26" s="25" t="e">
        <f t="shared" ca="1" si="2"/>
        <v>#VALUE!</v>
      </c>
      <c r="P26" s="171" t="e">
        <f ca="1">_xll.DBRW($A$1,$C26,$B26,P$3,P$1,P$2,$A26)*$D26</f>
        <v>#VALUE!</v>
      </c>
      <c r="Q26" s="25" t="e">
        <f ca="1">_xll.DBRW($A$1,$C26,$B26,Q$3,Q$1,Q$2,$A26)*$D26</f>
        <v>#VALUE!</v>
      </c>
      <c r="R26" s="25" t="e">
        <f t="shared" ca="1" si="3"/>
        <v>#VALUE!</v>
      </c>
      <c r="S26" s="171" t="e">
        <f ca="1">_xll.DBRW($A$1,$C26,$B26,S$3,S$1,S$2,$A26)*$D26</f>
        <v>#VALUE!</v>
      </c>
      <c r="T26" s="25" t="e">
        <f ca="1">_xll.DBRW($A$1,$C26,$B26,T$3,T$1,T$2,$A26)*$D26</f>
        <v>#VALUE!</v>
      </c>
      <c r="U26" s="25" t="e">
        <f t="shared" ca="1" si="4"/>
        <v>#VALUE!</v>
      </c>
      <c r="V26" s="171" t="e">
        <f ca="1">_xll.DBRW($A$1,$C26,$B26,V$3,V$1,V$2,$A26)*$D26</f>
        <v>#VALUE!</v>
      </c>
      <c r="W26" s="25" t="e">
        <f ca="1">_xll.DBRW($A$1,$C26,$B26,W$3,W$1,W$2,$A26)*$D26</f>
        <v>#VALUE!</v>
      </c>
      <c r="X26" s="25" t="e">
        <f t="shared" ca="1" si="5"/>
        <v>#VALUE!</v>
      </c>
      <c r="Y26" s="171" t="e">
        <f ca="1">_xll.DBRW($A$1,$C26,$B26,Y$3,Y$1,Y$2,$A26)*$D26</f>
        <v>#VALUE!</v>
      </c>
      <c r="Z26" s="25" t="e">
        <f ca="1">_xll.DBRW($A$1,$C26,$B26,Z$3,Z$1,Z$2,$A26)*$D26</f>
        <v>#VALUE!</v>
      </c>
      <c r="AA26" s="25" t="e">
        <f t="shared" ca="1" si="6"/>
        <v>#VALUE!</v>
      </c>
      <c r="AB26" s="171" t="e">
        <f ca="1">_xll.DBRW($A$1,$C26,$B26,AB$3,AB$1,AB$2,$A26)*$D26</f>
        <v>#VALUE!</v>
      </c>
      <c r="AC26" s="25" t="e">
        <f ca="1">_xll.DBRW($A$1,$C26,$B26,AC$3,AC$1,AC$2,$A26)*$D26</f>
        <v>#VALUE!</v>
      </c>
      <c r="AD26" s="25" t="e">
        <f t="shared" ca="1" si="7"/>
        <v>#VALUE!</v>
      </c>
      <c r="AE26" s="171" t="e">
        <f ca="1">_xll.DBRW($A$1,$C26,$B26,AE$3,AE$1,AE$2,$A26)*$D26</f>
        <v>#VALUE!</v>
      </c>
      <c r="AF26" s="25" t="e">
        <f ca="1">_xll.DBRW($A$1,$C26,$B26,AF$3,AF$1,AF$2,$A26)*$D26</f>
        <v>#VALUE!</v>
      </c>
      <c r="AG26" s="25" t="e">
        <f t="shared" ca="1" si="8"/>
        <v>#VALUE!</v>
      </c>
      <c r="AH26" s="171" t="e">
        <f ca="1">_xll.DBRW($A$1,$C26,$B26,AH$3,AH$1,AH$2,$A26)*$D26</f>
        <v>#VALUE!</v>
      </c>
      <c r="AI26" s="25" t="e">
        <f ca="1">_xll.DBRW($A$1,$C26,$B26,AI$3,AI$1,AI$2,$A26)*$D26</f>
        <v>#VALUE!</v>
      </c>
      <c r="AJ26" s="25" t="e">
        <f t="shared" ca="1" si="9"/>
        <v>#VALUE!</v>
      </c>
      <c r="AK26" s="171" t="e">
        <f ca="1">_xll.DBRW($A$1,$C26,$B26,AK$3,AK$1,AK$2,$A26)*$D26</f>
        <v>#VALUE!</v>
      </c>
      <c r="AL26" s="25" t="e">
        <f ca="1">_xll.DBRW($A$1,$C26,$B26,AL$3,AL$1,AL$2,$A26)*$D26</f>
        <v>#VALUE!</v>
      </c>
      <c r="AM26" s="25" t="e">
        <f t="shared" ca="1" si="10"/>
        <v>#VALUE!</v>
      </c>
    </row>
    <row r="27" spans="1:39" ht="15" customHeight="1">
      <c r="A27" s="170" t="s">
        <v>319</v>
      </c>
      <c r="B27" s="169" t="s">
        <v>339</v>
      </c>
      <c r="C27" s="168" t="s">
        <v>133</v>
      </c>
      <c r="D27" s="168">
        <v>1</v>
      </c>
      <c r="E27" s="167" t="str">
        <f ca="1">_xll.DBRA("mfc:skz",B27,"Group")</f>
        <v>Clean EBIT CCS</v>
      </c>
      <c r="F27" s="29" t="s">
        <v>308</v>
      </c>
      <c r="G27" s="217" t="e">
        <f ca="1">_xll.DBRW($A$1,$C27,$B27,G$3,G$1,G$2,$A27)*$D27</f>
        <v>#VALUE!</v>
      </c>
      <c r="H27" s="216" t="e">
        <f ca="1">_xll.DBRW($A$1,$C27,$B27,H$3,H$1,H$2,$A27)*$D27</f>
        <v>#VALUE!</v>
      </c>
      <c r="I27" s="216" t="e">
        <f t="shared" ca="1" si="0"/>
        <v>#VALUE!</v>
      </c>
      <c r="J27" s="217" t="e">
        <f ca="1">_xll.DBRW($A$1,$C27,$B27,J$3,J$1,J$2,$A27)*$D27</f>
        <v>#VALUE!</v>
      </c>
      <c r="K27" s="216" t="e">
        <f ca="1">_xll.DBRW($A$1,$C27,$B27,K$3,K$1,K$2,$A27)*$D27</f>
        <v>#VALUE!</v>
      </c>
      <c r="L27" s="216" t="e">
        <f t="shared" ca="1" si="1"/>
        <v>#VALUE!</v>
      </c>
      <c r="M27" s="217" t="e">
        <f ca="1">_xll.DBRW($A$1,$C27,$B27,M$3,M$1,M$2,$A27)*$D27</f>
        <v>#VALUE!</v>
      </c>
      <c r="N27" s="216" t="e">
        <f ca="1">_xll.DBRW($A$1,$C27,$B27,N$3,N$1,N$2,$A27)*$D27</f>
        <v>#VALUE!</v>
      </c>
      <c r="O27" s="216" t="e">
        <f t="shared" ca="1" si="2"/>
        <v>#VALUE!</v>
      </c>
      <c r="P27" s="217" t="e">
        <f ca="1">_xll.DBRW($A$1,$C27,$B27,P$3,P$1,P$2,$A27)*$D27</f>
        <v>#VALUE!</v>
      </c>
      <c r="Q27" s="216" t="e">
        <f ca="1">_xll.DBRW($A$1,$C27,$B27,Q$3,Q$1,Q$2,$A27)*$D27</f>
        <v>#VALUE!</v>
      </c>
      <c r="R27" s="216" t="e">
        <f t="shared" ca="1" si="3"/>
        <v>#VALUE!</v>
      </c>
      <c r="S27" s="217" t="e">
        <f ca="1">_xll.DBRW($A$1,$C27,$B27,S$3,S$1,S$2,$A27)*$D27</f>
        <v>#VALUE!</v>
      </c>
      <c r="T27" s="216" t="e">
        <f ca="1">_xll.DBRW($A$1,$C27,$B27,T$3,T$1,T$2,$A27)*$D27</f>
        <v>#VALUE!</v>
      </c>
      <c r="U27" s="216" t="e">
        <f t="shared" ca="1" si="4"/>
        <v>#VALUE!</v>
      </c>
      <c r="V27" s="217" t="e">
        <f ca="1">_xll.DBRW($A$1,$C27,$B27,V$3,V$1,V$2,$A27)*$D27</f>
        <v>#VALUE!</v>
      </c>
      <c r="W27" s="216" t="e">
        <f ca="1">_xll.DBRW($A$1,$C27,$B27,W$3,W$1,W$2,$A27)*$D27</f>
        <v>#VALUE!</v>
      </c>
      <c r="X27" s="216" t="e">
        <f t="shared" ca="1" si="5"/>
        <v>#VALUE!</v>
      </c>
      <c r="Y27" s="217" t="e">
        <f ca="1">_xll.DBRW($A$1,$C27,$B27,Y$3,Y$1,Y$2,$A27)*$D27</f>
        <v>#VALUE!</v>
      </c>
      <c r="Z27" s="216" t="e">
        <f ca="1">_xll.DBRW($A$1,$C27,$B27,Z$3,Z$1,Z$2,$A27)*$D27</f>
        <v>#VALUE!</v>
      </c>
      <c r="AA27" s="216" t="e">
        <f t="shared" ca="1" si="6"/>
        <v>#VALUE!</v>
      </c>
      <c r="AB27" s="217" t="e">
        <f ca="1">_xll.DBRW($A$1,$C27,$B27,AB$3,AB$1,AB$2,$A27)*$D27</f>
        <v>#VALUE!</v>
      </c>
      <c r="AC27" s="216" t="e">
        <f ca="1">_xll.DBRW($A$1,$C27,$B27,AC$3,AC$1,AC$2,$A27)*$D27</f>
        <v>#VALUE!</v>
      </c>
      <c r="AD27" s="216" t="e">
        <f t="shared" ca="1" si="7"/>
        <v>#VALUE!</v>
      </c>
      <c r="AE27" s="217" t="e">
        <f ca="1">_xll.DBRW($A$1,$C27,$B27,AE$3,AE$1,AE$2,$A27)*$D27</f>
        <v>#VALUE!</v>
      </c>
      <c r="AF27" s="216" t="e">
        <f ca="1">_xll.DBRW($A$1,$C27,$B27,AF$3,AF$1,AF$2,$A27)*$D27</f>
        <v>#VALUE!</v>
      </c>
      <c r="AG27" s="216" t="e">
        <f t="shared" ca="1" si="8"/>
        <v>#VALUE!</v>
      </c>
      <c r="AH27" s="217" t="e">
        <f ca="1">_xll.DBRW($A$1,$C27,$B27,AH$3,AH$1,AH$2,$A27)*$D27</f>
        <v>#VALUE!</v>
      </c>
      <c r="AI27" s="216" t="e">
        <f ca="1">_xll.DBRW($A$1,$C27,$B27,AI$3,AI$1,AI$2,$A27)*$D27</f>
        <v>#VALUE!</v>
      </c>
      <c r="AJ27" s="216" t="e">
        <f t="shared" ca="1" si="9"/>
        <v>#VALUE!</v>
      </c>
      <c r="AK27" s="217" t="e">
        <f ca="1">_xll.DBRW($A$1,$C27,$B27,AK$3,AK$1,AK$2,$A27)*$D27</f>
        <v>#VALUE!</v>
      </c>
      <c r="AL27" s="216" t="e">
        <f ca="1">_xll.DBRW($A$1,$C27,$B27,AL$3,AL$1,AL$2,$A27)*$D27</f>
        <v>#VALUE!</v>
      </c>
      <c r="AM27" s="216" t="e">
        <f t="shared" ca="1" si="10"/>
        <v>#VALUE!</v>
      </c>
    </row>
    <row r="28" spans="1:39" ht="15" customHeight="1">
      <c r="A28" s="170" t="s">
        <v>364</v>
      </c>
      <c r="B28" s="169" t="s">
        <v>339</v>
      </c>
      <c r="C28" s="168" t="s">
        <v>133</v>
      </c>
      <c r="D28" s="168">
        <v>1</v>
      </c>
      <c r="E28" s="167" t="str">
        <f ca="1">_xll.DBRA("mfc:skz",B28,"Group")</f>
        <v>Clean EBIT CCS</v>
      </c>
      <c r="F28" s="35" t="s">
        <v>307</v>
      </c>
      <c r="G28" s="171" t="e">
        <f ca="1">_xll.DBRW($A$1,$C28,$B28,G$3,G$1,G$2,$A28)*$D28</f>
        <v>#VALUE!</v>
      </c>
      <c r="H28" s="25" t="e">
        <f ca="1">_xll.DBRW($A$1,$C28,$B28,H$3,H$1,H$2,$A28)*$D28</f>
        <v>#VALUE!</v>
      </c>
      <c r="I28" s="25" t="e">
        <f t="shared" ca="1" si="0"/>
        <v>#VALUE!</v>
      </c>
      <c r="J28" s="171" t="e">
        <f ca="1">_xll.DBRW($A$1,$C28,$B28,J$3,J$1,J$2,$A28)*$D28</f>
        <v>#VALUE!</v>
      </c>
      <c r="K28" s="25" t="e">
        <f ca="1">_xll.DBRW($A$1,$C28,$B28,K$3,K$1,K$2,$A28)*$D28</f>
        <v>#VALUE!</v>
      </c>
      <c r="L28" s="25" t="e">
        <f t="shared" ca="1" si="1"/>
        <v>#VALUE!</v>
      </c>
      <c r="M28" s="171" t="e">
        <f ca="1">_xll.DBRW($A$1,$C28,$B28,M$3,M$1,M$2,$A28)*$D28</f>
        <v>#VALUE!</v>
      </c>
      <c r="N28" s="25" t="e">
        <f ca="1">_xll.DBRW($A$1,$C28,$B28,N$3,N$1,N$2,$A28)*$D28</f>
        <v>#VALUE!</v>
      </c>
      <c r="O28" s="25" t="e">
        <f t="shared" ca="1" si="2"/>
        <v>#VALUE!</v>
      </c>
      <c r="P28" s="171" t="e">
        <f ca="1">_xll.DBRW($A$1,$C28,$B28,P$3,P$1,P$2,$A28)*$D28</f>
        <v>#VALUE!</v>
      </c>
      <c r="Q28" s="25" t="e">
        <f ca="1">_xll.DBRW($A$1,$C28,$B28,Q$3,Q$1,Q$2,$A28)*$D28</f>
        <v>#VALUE!</v>
      </c>
      <c r="R28" s="25" t="e">
        <f t="shared" ca="1" si="3"/>
        <v>#VALUE!</v>
      </c>
      <c r="S28" s="171" t="e">
        <f ca="1">_xll.DBRW($A$1,$C28,$B28,S$3,S$1,S$2,$A28)*$D28</f>
        <v>#VALUE!</v>
      </c>
      <c r="T28" s="25" t="e">
        <f ca="1">_xll.DBRW($A$1,$C28,$B28,T$3,T$1,T$2,$A28)*$D28</f>
        <v>#VALUE!</v>
      </c>
      <c r="U28" s="25" t="e">
        <f t="shared" ca="1" si="4"/>
        <v>#VALUE!</v>
      </c>
      <c r="V28" s="171" t="e">
        <f ca="1">_xll.DBRW($A$1,$C28,$B28,V$3,V$1,V$2,$A28)*$D28</f>
        <v>#VALUE!</v>
      </c>
      <c r="W28" s="25" t="e">
        <f ca="1">_xll.DBRW($A$1,$C28,$B28,W$3,W$1,W$2,$A28)*$D28</f>
        <v>#VALUE!</v>
      </c>
      <c r="X28" s="25" t="e">
        <f t="shared" ca="1" si="5"/>
        <v>#VALUE!</v>
      </c>
      <c r="Y28" s="171" t="e">
        <f ca="1">_xll.DBRW($A$1,$C28,$B28,Y$3,Y$1,Y$2,$A28)*$D28</f>
        <v>#VALUE!</v>
      </c>
      <c r="Z28" s="25" t="e">
        <f ca="1">_xll.DBRW($A$1,$C28,$B28,Z$3,Z$1,Z$2,$A28)*$D28</f>
        <v>#VALUE!</v>
      </c>
      <c r="AA28" s="25" t="e">
        <f t="shared" ca="1" si="6"/>
        <v>#VALUE!</v>
      </c>
      <c r="AB28" s="171" t="e">
        <f ca="1">_xll.DBRW($A$1,$C28,$B28,AB$3,AB$1,AB$2,$A28)*$D28</f>
        <v>#VALUE!</v>
      </c>
      <c r="AC28" s="25" t="e">
        <f ca="1">_xll.DBRW($A$1,$C28,$B28,AC$3,AC$1,AC$2,$A28)*$D28</f>
        <v>#VALUE!</v>
      </c>
      <c r="AD28" s="25" t="e">
        <f t="shared" ca="1" si="7"/>
        <v>#VALUE!</v>
      </c>
      <c r="AE28" s="171" t="e">
        <f ca="1">_xll.DBRW($A$1,$C28,$B28,AE$3,AE$1,AE$2,$A28)*$D28</f>
        <v>#VALUE!</v>
      </c>
      <c r="AF28" s="25" t="e">
        <f ca="1">_xll.DBRW($A$1,$C28,$B28,AF$3,AF$1,AF$2,$A28)*$D28</f>
        <v>#VALUE!</v>
      </c>
      <c r="AG28" s="25" t="e">
        <f t="shared" ca="1" si="8"/>
        <v>#VALUE!</v>
      </c>
      <c r="AH28" s="171" t="e">
        <f ca="1">_xll.DBRW($A$1,$C28,$B28,AH$3,AH$1,AH$2,$A28)*$D28</f>
        <v>#VALUE!</v>
      </c>
      <c r="AI28" s="25" t="e">
        <f ca="1">_xll.DBRW($A$1,$C28,$B28,AI$3,AI$1,AI$2,$A28)*$D28</f>
        <v>#VALUE!</v>
      </c>
      <c r="AJ28" s="25" t="e">
        <f t="shared" ca="1" si="9"/>
        <v>#VALUE!</v>
      </c>
      <c r="AK28" s="171" t="e">
        <f ca="1">_xll.DBRW($A$1,$C28,$B28,AK$3,AK$1,AK$2,$A28)*$D28</f>
        <v>#VALUE!</v>
      </c>
      <c r="AL28" s="25" t="e">
        <f ca="1">_xll.DBRW($A$1,$C28,$B28,AL$3,AL$1,AL$2,$A28)*$D28</f>
        <v>#VALUE!</v>
      </c>
      <c r="AM28" s="25" t="e">
        <f t="shared" ca="1" si="10"/>
        <v>#VALUE!</v>
      </c>
    </row>
    <row r="29" spans="1:39" ht="15" customHeight="1">
      <c r="A29" s="170" t="s">
        <v>363</v>
      </c>
      <c r="B29" s="169" t="s">
        <v>339</v>
      </c>
      <c r="C29" s="168" t="s">
        <v>133</v>
      </c>
      <c r="D29" s="168">
        <v>1</v>
      </c>
      <c r="E29" s="167" t="str">
        <f ca="1">_xll.DBRA("mfc:skz",B29,"Group")</f>
        <v>Clean EBIT CCS</v>
      </c>
      <c r="F29" s="36" t="s">
        <v>306</v>
      </c>
      <c r="G29" s="171" t="e">
        <f ca="1">_xll.DBRW($A$1,$C29,$B29,G$3,G$1,G$2,$A29)*$D29</f>
        <v>#VALUE!</v>
      </c>
      <c r="H29" s="25" t="e">
        <f ca="1">_xll.DBRW($A$1,$C29,$B29,H$3,H$1,H$2,$A29)*$D29</f>
        <v>#VALUE!</v>
      </c>
      <c r="I29" s="25" t="e">
        <f t="shared" ca="1" si="0"/>
        <v>#VALUE!</v>
      </c>
      <c r="J29" s="171" t="e">
        <f ca="1">_xll.DBRW($A$1,$C29,$B29,J$3,J$1,J$2,$A29)*$D29</f>
        <v>#VALUE!</v>
      </c>
      <c r="K29" s="25" t="e">
        <f ca="1">_xll.DBRW($A$1,$C29,$B29,K$3,K$1,K$2,$A29)*$D29</f>
        <v>#VALUE!</v>
      </c>
      <c r="L29" s="25" t="e">
        <f t="shared" ca="1" si="1"/>
        <v>#VALUE!</v>
      </c>
      <c r="M29" s="171" t="e">
        <f ca="1">_xll.DBRW($A$1,$C29,$B29,M$3,M$1,M$2,$A29)*$D29</f>
        <v>#VALUE!</v>
      </c>
      <c r="N29" s="25" t="e">
        <f ca="1">_xll.DBRW($A$1,$C29,$B29,N$3,N$1,N$2,$A29)*$D29</f>
        <v>#VALUE!</v>
      </c>
      <c r="O29" s="25" t="e">
        <f t="shared" ca="1" si="2"/>
        <v>#VALUE!</v>
      </c>
      <c r="P29" s="171" t="e">
        <f ca="1">_xll.DBRW($A$1,$C29,$B29,P$3,P$1,P$2,$A29)*$D29</f>
        <v>#VALUE!</v>
      </c>
      <c r="Q29" s="25" t="e">
        <f ca="1">_xll.DBRW($A$1,$C29,$B29,Q$3,Q$1,Q$2,$A29)*$D29</f>
        <v>#VALUE!</v>
      </c>
      <c r="R29" s="25" t="e">
        <f t="shared" ca="1" si="3"/>
        <v>#VALUE!</v>
      </c>
      <c r="S29" s="171" t="e">
        <f ca="1">_xll.DBRW($A$1,$C29,$B29,S$3,S$1,S$2,$A29)*$D29</f>
        <v>#VALUE!</v>
      </c>
      <c r="T29" s="25" t="e">
        <f ca="1">_xll.DBRW($A$1,$C29,$B29,T$3,T$1,T$2,$A29)*$D29</f>
        <v>#VALUE!</v>
      </c>
      <c r="U29" s="25" t="e">
        <f t="shared" ca="1" si="4"/>
        <v>#VALUE!</v>
      </c>
      <c r="V29" s="171" t="e">
        <f ca="1">_xll.DBRW($A$1,$C29,$B29,V$3,V$1,V$2,$A29)*$D29</f>
        <v>#VALUE!</v>
      </c>
      <c r="W29" s="25" t="e">
        <f ca="1">_xll.DBRW($A$1,$C29,$B29,W$3,W$1,W$2,$A29)*$D29</f>
        <v>#VALUE!</v>
      </c>
      <c r="X29" s="25" t="e">
        <f t="shared" ca="1" si="5"/>
        <v>#VALUE!</v>
      </c>
      <c r="Y29" s="171" t="e">
        <f ca="1">_xll.DBRW($A$1,$C29,$B29,Y$3,Y$1,Y$2,$A29)*$D29</f>
        <v>#VALUE!</v>
      </c>
      <c r="Z29" s="25" t="e">
        <f ca="1">_xll.DBRW($A$1,$C29,$B29,Z$3,Z$1,Z$2,$A29)*$D29</f>
        <v>#VALUE!</v>
      </c>
      <c r="AA29" s="25" t="e">
        <f t="shared" ca="1" si="6"/>
        <v>#VALUE!</v>
      </c>
      <c r="AB29" s="171" t="e">
        <f ca="1">_xll.DBRW($A$1,$C29,$B29,AB$3,AB$1,AB$2,$A29)*$D29</f>
        <v>#VALUE!</v>
      </c>
      <c r="AC29" s="25" t="e">
        <f ca="1">_xll.DBRW($A$1,$C29,$B29,AC$3,AC$1,AC$2,$A29)*$D29</f>
        <v>#VALUE!</v>
      </c>
      <c r="AD29" s="25" t="e">
        <f t="shared" ca="1" si="7"/>
        <v>#VALUE!</v>
      </c>
      <c r="AE29" s="171" t="e">
        <f ca="1">_xll.DBRW($A$1,$C29,$B29,AE$3,AE$1,AE$2,$A29)*$D29</f>
        <v>#VALUE!</v>
      </c>
      <c r="AF29" s="25" t="e">
        <f ca="1">_xll.DBRW($A$1,$C29,$B29,AF$3,AF$1,AF$2,$A29)*$D29</f>
        <v>#VALUE!</v>
      </c>
      <c r="AG29" s="25" t="e">
        <f t="shared" ca="1" si="8"/>
        <v>#VALUE!</v>
      </c>
      <c r="AH29" s="171" t="e">
        <f ca="1">_xll.DBRW($A$1,$C29,$B29,AH$3,AH$1,AH$2,$A29)*$D29</f>
        <v>#VALUE!</v>
      </c>
      <c r="AI29" s="25" t="e">
        <f ca="1">_xll.DBRW($A$1,$C29,$B29,AI$3,AI$1,AI$2,$A29)*$D29</f>
        <v>#VALUE!</v>
      </c>
      <c r="AJ29" s="25" t="e">
        <f t="shared" ca="1" si="9"/>
        <v>#VALUE!</v>
      </c>
      <c r="AK29" s="171" t="e">
        <f ca="1">_xll.DBRW($A$1,$C29,$B29,AK$3,AK$1,AK$2,$A29)*$D29</f>
        <v>#VALUE!</v>
      </c>
      <c r="AL29" s="25" t="e">
        <f ca="1">_xll.DBRW($A$1,$C29,$B29,AL$3,AL$1,AL$2,$A29)*$D29</f>
        <v>#VALUE!</v>
      </c>
      <c r="AM29" s="25" t="e">
        <f t="shared" ca="1" si="10"/>
        <v>#VALUE!</v>
      </c>
    </row>
    <row r="30" spans="1:39" ht="15" customHeight="1">
      <c r="A30" s="170" t="s">
        <v>319</v>
      </c>
      <c r="B30" s="169" t="s">
        <v>332</v>
      </c>
      <c r="C30" s="168" t="s">
        <v>133</v>
      </c>
      <c r="D30" s="168">
        <v>1</v>
      </c>
      <c r="E30" s="167" t="str">
        <f ca="1">_xll.DBRA("mfc:skz",B30,"Group")</f>
        <v>POA</v>
      </c>
      <c r="F30" s="210" t="s">
        <v>31</v>
      </c>
      <c r="G30" s="206" t="e">
        <f ca="1">_xll.DBRW($A$1,$C30,$B30,G$3,G$1,G$2,$A30)*$D30</f>
        <v>#VALUE!</v>
      </c>
      <c r="H30" s="205" t="e">
        <f ca="1">_xll.DBRW($A$1,$C30,$B30,H$3,H$1,H$2,$A30)*$D30</f>
        <v>#VALUE!</v>
      </c>
      <c r="I30" s="205" t="e">
        <f t="shared" ca="1" si="0"/>
        <v>#VALUE!</v>
      </c>
      <c r="J30" s="206" t="e">
        <f ca="1">_xll.DBRW($A$1,$C30,$B30,J$3,J$1,J$2,$A30)*$D30</f>
        <v>#VALUE!</v>
      </c>
      <c r="K30" s="205" t="e">
        <f ca="1">_xll.DBRW($A$1,$C30,$B30,K$3,K$1,K$2,$A30)*$D30</f>
        <v>#VALUE!</v>
      </c>
      <c r="L30" s="205" t="e">
        <f t="shared" ca="1" si="1"/>
        <v>#VALUE!</v>
      </c>
      <c r="M30" s="206" t="e">
        <f ca="1">_xll.DBRW($A$1,$C30,$B30,M$3,M$1,M$2,$A30)*$D30</f>
        <v>#VALUE!</v>
      </c>
      <c r="N30" s="205" t="e">
        <f ca="1">_xll.DBRW($A$1,$C30,$B30,N$3,N$1,N$2,$A30)*$D30</f>
        <v>#VALUE!</v>
      </c>
      <c r="O30" s="205" t="e">
        <f t="shared" ca="1" si="2"/>
        <v>#VALUE!</v>
      </c>
      <c r="P30" s="206" t="e">
        <f ca="1">_xll.DBRW($A$1,$C30,$B30,P$3,P$1,P$2,$A30)*$D30</f>
        <v>#VALUE!</v>
      </c>
      <c r="Q30" s="205" t="e">
        <f ca="1">_xll.DBRW($A$1,$C30,$B30,Q$3,Q$1,Q$2,$A30)*$D30</f>
        <v>#VALUE!</v>
      </c>
      <c r="R30" s="205" t="e">
        <f t="shared" ca="1" si="3"/>
        <v>#VALUE!</v>
      </c>
      <c r="S30" s="206" t="e">
        <f ca="1">_xll.DBRW($A$1,$C30,$B30,S$3,S$1,S$2,$A30)*$D30</f>
        <v>#VALUE!</v>
      </c>
      <c r="T30" s="205" t="e">
        <f ca="1">_xll.DBRW($A$1,$C30,$B30,T$3,T$1,T$2,$A30)*$D30</f>
        <v>#VALUE!</v>
      </c>
      <c r="U30" s="205" t="e">
        <f t="shared" ca="1" si="4"/>
        <v>#VALUE!</v>
      </c>
      <c r="V30" s="206" t="e">
        <f ca="1">_xll.DBRW($A$1,$C30,$B30,V$3,V$1,V$2,$A30)*$D30</f>
        <v>#VALUE!</v>
      </c>
      <c r="W30" s="205" t="e">
        <f ca="1">_xll.DBRW($A$1,$C30,$B30,W$3,W$1,W$2,$A30)*$D30</f>
        <v>#VALUE!</v>
      </c>
      <c r="X30" s="205" t="e">
        <f t="shared" ca="1" si="5"/>
        <v>#VALUE!</v>
      </c>
      <c r="Y30" s="206" t="e">
        <f ca="1">_xll.DBRW($A$1,$C30,$B30,Y$3,Y$1,Y$2,$A30)*$D30</f>
        <v>#VALUE!</v>
      </c>
      <c r="Z30" s="205" t="e">
        <f ca="1">_xll.DBRW($A$1,$C30,$B30,Z$3,Z$1,Z$2,$A30)*$D30</f>
        <v>#VALUE!</v>
      </c>
      <c r="AA30" s="205" t="e">
        <f t="shared" ca="1" si="6"/>
        <v>#VALUE!</v>
      </c>
      <c r="AB30" s="206" t="e">
        <f ca="1">_xll.DBRW($A$1,$C30,$B30,AB$3,AB$1,AB$2,$A30)*$D30</f>
        <v>#VALUE!</v>
      </c>
      <c r="AC30" s="205" t="e">
        <f ca="1">_xll.DBRW($A$1,$C30,$B30,AC$3,AC$1,AC$2,$A30)*$D30</f>
        <v>#VALUE!</v>
      </c>
      <c r="AD30" s="205" t="e">
        <f t="shared" ca="1" si="7"/>
        <v>#VALUE!</v>
      </c>
      <c r="AE30" s="206" t="e">
        <f ca="1">_xll.DBRW($A$1,$C30,$B30,AE$3,AE$1,AE$2,$A30)*$D30</f>
        <v>#VALUE!</v>
      </c>
      <c r="AF30" s="205" t="e">
        <f ca="1">_xll.DBRW($A$1,$C30,$B30,AF$3,AF$1,AF$2,$A30)*$D30</f>
        <v>#VALUE!</v>
      </c>
      <c r="AG30" s="205" t="e">
        <f t="shared" ca="1" si="8"/>
        <v>#VALUE!</v>
      </c>
      <c r="AH30" s="206" t="e">
        <f ca="1">_xll.DBRW($A$1,$C30,$B30,AH$3,AH$1,AH$2,$A30)*$D30</f>
        <v>#VALUE!</v>
      </c>
      <c r="AI30" s="205" t="e">
        <f ca="1">_xll.DBRW($A$1,$C30,$B30,AI$3,AI$1,AI$2,$A30)*$D30</f>
        <v>#VALUE!</v>
      </c>
      <c r="AJ30" s="205" t="e">
        <f t="shared" ca="1" si="9"/>
        <v>#VALUE!</v>
      </c>
      <c r="AK30" s="206" t="e">
        <f ca="1">_xll.DBRW($A$1,$C30,$B30,AK$3,AK$1,AK$2,$A30)*$D30</f>
        <v>#VALUE!</v>
      </c>
      <c r="AL30" s="205" t="e">
        <f ca="1">_xll.DBRW($A$1,$C30,$B30,AL$3,AL$1,AL$2,$A30)*$D30</f>
        <v>#VALUE!</v>
      </c>
      <c r="AM30" s="205" t="e">
        <f t="shared" ca="1" si="10"/>
        <v>#VALUE!</v>
      </c>
    </row>
    <row r="31" spans="1:39" ht="15" customHeight="1">
      <c r="A31" s="170" t="s">
        <v>319</v>
      </c>
      <c r="B31" s="169" t="s">
        <v>362</v>
      </c>
      <c r="C31" s="168" t="s">
        <v>133</v>
      </c>
      <c r="D31" s="168">
        <v>1</v>
      </c>
      <c r="E31" s="167" t="str">
        <f ca="1">_xll.DBRA("mfc:skz",B31,"Group")</f>
        <v>Net income /loss for the year</v>
      </c>
      <c r="F31" s="187" t="s">
        <v>7</v>
      </c>
      <c r="G31" s="171" t="e">
        <f ca="1">_xll.DBRW($A$1,$C31,$B31,G$3,G$1,G$2,$A31)*$D31</f>
        <v>#VALUE!</v>
      </c>
      <c r="H31" s="25" t="e">
        <f ca="1">_xll.DBRW($A$1,$C31,$B31,H$3,H$1,H$2,$A31)*$D31</f>
        <v>#VALUE!</v>
      </c>
      <c r="I31" s="25" t="e">
        <f t="shared" ca="1" si="0"/>
        <v>#VALUE!</v>
      </c>
      <c r="J31" s="171" t="e">
        <f ca="1">_xll.DBRW($A$1,$C31,$B31,J$3,J$1,J$2,$A31)*$D31</f>
        <v>#VALUE!</v>
      </c>
      <c r="K31" s="25" t="e">
        <f ca="1">_xll.DBRW($A$1,$C31,$B31,K$3,K$1,K$2,$A31)*$D31</f>
        <v>#VALUE!</v>
      </c>
      <c r="L31" s="25" t="e">
        <f t="shared" ca="1" si="1"/>
        <v>#VALUE!</v>
      </c>
      <c r="M31" s="171" t="e">
        <f ca="1">_xll.DBRW($A$1,$C31,$B31,M$3,M$1,M$2,$A31)*$D31</f>
        <v>#VALUE!</v>
      </c>
      <c r="N31" s="25" t="e">
        <f ca="1">_xll.DBRW($A$1,$C31,$B31,N$3,N$1,N$2,$A31)*$D31</f>
        <v>#VALUE!</v>
      </c>
      <c r="O31" s="25" t="e">
        <f t="shared" ca="1" si="2"/>
        <v>#VALUE!</v>
      </c>
      <c r="P31" s="171" t="e">
        <f ca="1">_xll.DBRW($A$1,$C31,$B31,P$3,P$1,P$2,$A31)*$D31</f>
        <v>#VALUE!</v>
      </c>
      <c r="Q31" s="25" t="e">
        <f ca="1">_xll.DBRW($A$1,$C31,$B31,Q$3,Q$1,Q$2,$A31)*$D31</f>
        <v>#VALUE!</v>
      </c>
      <c r="R31" s="25" t="e">
        <f t="shared" ca="1" si="3"/>
        <v>#VALUE!</v>
      </c>
      <c r="S31" s="171" t="e">
        <f ca="1">_xll.DBRW($A$1,$C31,$B31,S$3,S$1,S$2,$A31)*$D31</f>
        <v>#VALUE!</v>
      </c>
      <c r="T31" s="25" t="e">
        <f ca="1">_xll.DBRW($A$1,$C31,$B31,T$3,T$1,T$2,$A31)*$D31</f>
        <v>#VALUE!</v>
      </c>
      <c r="U31" s="25" t="e">
        <f t="shared" ca="1" si="4"/>
        <v>#VALUE!</v>
      </c>
      <c r="V31" s="171" t="e">
        <f ca="1">_xll.DBRW($A$1,$C31,$B31,V$3,V$1,V$2,$A31)*$D31</f>
        <v>#VALUE!</v>
      </c>
      <c r="W31" s="25" t="e">
        <f ca="1">_xll.DBRW($A$1,$C31,$B31,W$3,W$1,W$2,$A31)*$D31</f>
        <v>#VALUE!</v>
      </c>
      <c r="X31" s="25" t="e">
        <f t="shared" ca="1" si="5"/>
        <v>#VALUE!</v>
      </c>
      <c r="Y31" s="171" t="e">
        <f ca="1">_xll.DBRW($A$1,$C31,$B31,Y$3,Y$1,Y$2,$A31)*$D31</f>
        <v>#VALUE!</v>
      </c>
      <c r="Z31" s="25" t="e">
        <f ca="1">_xll.DBRW($A$1,$C31,$B31,Z$3,Z$1,Z$2,$A31)*$D31</f>
        <v>#VALUE!</v>
      </c>
      <c r="AA31" s="25" t="e">
        <f t="shared" ca="1" si="6"/>
        <v>#VALUE!</v>
      </c>
      <c r="AB31" s="171" t="e">
        <f ca="1">_xll.DBRW($A$1,$C31,$B31,AB$3,AB$1,AB$2,$A31)*$D31</f>
        <v>#VALUE!</v>
      </c>
      <c r="AC31" s="25" t="e">
        <f ca="1">_xll.DBRW($A$1,$C31,$B31,AC$3,AC$1,AC$2,$A31)*$D31</f>
        <v>#VALUE!</v>
      </c>
      <c r="AD31" s="25" t="e">
        <f t="shared" ca="1" si="7"/>
        <v>#VALUE!</v>
      </c>
      <c r="AE31" s="171" t="e">
        <f ca="1">_xll.DBRW($A$1,$C31,$B31,AE$3,AE$1,AE$2,$A31)*$D31</f>
        <v>#VALUE!</v>
      </c>
      <c r="AF31" s="25" t="e">
        <f ca="1">_xll.DBRW($A$1,$C31,$B31,AF$3,AF$1,AF$2,$A31)*$D31</f>
        <v>#VALUE!</v>
      </c>
      <c r="AG31" s="25" t="e">
        <f t="shared" ca="1" si="8"/>
        <v>#VALUE!</v>
      </c>
      <c r="AH31" s="171" t="e">
        <f ca="1">_xll.DBRW($A$1,$C31,$B31,AH$3,AH$1,AH$2,$A31)*$D31</f>
        <v>#VALUE!</v>
      </c>
      <c r="AI31" s="25" t="e">
        <f ca="1">_xll.DBRW($A$1,$C31,$B31,AI$3,AI$1,AI$2,$A31)*$D31</f>
        <v>#VALUE!</v>
      </c>
      <c r="AJ31" s="25" t="e">
        <f t="shared" ca="1" si="9"/>
        <v>#VALUE!</v>
      </c>
      <c r="AK31" s="171" t="e">
        <f ca="1">_xll.DBRW($A$1,$C31,$B31,AK$3,AK$1,AK$2,$A31)*$D31</f>
        <v>#VALUE!</v>
      </c>
      <c r="AL31" s="25" t="e">
        <f ca="1">_xll.DBRW($A$1,$C31,$B31,AL$3,AL$1,AL$2,$A31)*$D31</f>
        <v>#VALUE!</v>
      </c>
      <c r="AM31" s="25" t="e">
        <f t="shared" ca="1" si="10"/>
        <v>#VALUE!</v>
      </c>
    </row>
    <row r="32" spans="1:39" ht="15" customHeight="1">
      <c r="A32" s="170" t="s">
        <v>319</v>
      </c>
      <c r="B32" s="169" t="s">
        <v>361</v>
      </c>
      <c r="C32" s="168" t="s">
        <v>133</v>
      </c>
      <c r="D32" s="168">
        <v>1</v>
      </c>
      <c r="E32" s="167" t="str">
        <f ca="1">_xll.DBRA("mfc:skz",B32,"Group")</f>
        <v>Net income/ net loss after minorities and hybrid capital owners</v>
      </c>
      <c r="F32" s="215" t="s">
        <v>305</v>
      </c>
      <c r="G32" s="171" t="e">
        <f ca="1">_xll.DBRW($A$1,$C32,$B32,G$3,G$1,G$2,$A32)*$D32</f>
        <v>#VALUE!</v>
      </c>
      <c r="H32" s="25" t="e">
        <f ca="1">_xll.DBRW($A$1,$C32,$B32,H$3,H$1,H$2,$A32)*$D32</f>
        <v>#VALUE!</v>
      </c>
      <c r="I32" s="25" t="e">
        <f t="shared" ca="1" si="0"/>
        <v>#VALUE!</v>
      </c>
      <c r="J32" s="171" t="e">
        <f ca="1">_xll.DBRW($A$1,$C32,$B32,J$3,J$1,J$2,$A32)*$D32</f>
        <v>#VALUE!</v>
      </c>
      <c r="K32" s="25" t="e">
        <f ca="1">_xll.DBRW($A$1,$C32,$B32,K$3,K$1,K$2,$A32)*$D32</f>
        <v>#VALUE!</v>
      </c>
      <c r="L32" s="25" t="e">
        <f t="shared" ca="1" si="1"/>
        <v>#VALUE!</v>
      </c>
      <c r="M32" s="171" t="e">
        <f ca="1">_xll.DBRW($A$1,$C32,$B32,M$3,M$1,M$2,$A32)*$D32</f>
        <v>#VALUE!</v>
      </c>
      <c r="N32" s="25" t="e">
        <f ca="1">_xll.DBRW($A$1,$C32,$B32,N$3,N$1,N$2,$A32)*$D32</f>
        <v>#VALUE!</v>
      </c>
      <c r="O32" s="25" t="e">
        <f t="shared" ca="1" si="2"/>
        <v>#VALUE!</v>
      </c>
      <c r="P32" s="171" t="e">
        <f ca="1">_xll.DBRW($A$1,$C32,$B32,P$3,P$1,P$2,$A32)*$D32</f>
        <v>#VALUE!</v>
      </c>
      <c r="Q32" s="25" t="e">
        <f ca="1">_xll.DBRW($A$1,$C32,$B32,Q$3,Q$1,Q$2,$A32)*$D32</f>
        <v>#VALUE!</v>
      </c>
      <c r="R32" s="25" t="e">
        <f t="shared" ca="1" si="3"/>
        <v>#VALUE!</v>
      </c>
      <c r="S32" s="171" t="e">
        <f ca="1">_xll.DBRW($A$1,$C32,$B32,S$3,S$1,S$2,$A32)*$D32</f>
        <v>#VALUE!</v>
      </c>
      <c r="T32" s="25" t="e">
        <f ca="1">_xll.DBRW($A$1,$C32,$B32,T$3,T$1,T$2,$A32)*$D32</f>
        <v>#VALUE!</v>
      </c>
      <c r="U32" s="25" t="e">
        <f t="shared" ca="1" si="4"/>
        <v>#VALUE!</v>
      </c>
      <c r="V32" s="171" t="e">
        <f ca="1">_xll.DBRW($A$1,$C32,$B32,V$3,V$1,V$2,$A32)*$D32</f>
        <v>#VALUE!</v>
      </c>
      <c r="W32" s="25" t="e">
        <f ca="1">_xll.DBRW($A$1,$C32,$B32,W$3,W$1,W$2,$A32)*$D32</f>
        <v>#VALUE!</v>
      </c>
      <c r="X32" s="25" t="e">
        <f t="shared" ca="1" si="5"/>
        <v>#VALUE!</v>
      </c>
      <c r="Y32" s="171" t="e">
        <f ca="1">_xll.DBRW($A$1,$C32,$B32,Y$3,Y$1,Y$2,$A32)*$D32</f>
        <v>#VALUE!</v>
      </c>
      <c r="Z32" s="25" t="e">
        <f ca="1">_xll.DBRW($A$1,$C32,$B32,Z$3,Z$1,Z$2,$A32)*$D32</f>
        <v>#VALUE!</v>
      </c>
      <c r="AA32" s="25" t="e">
        <f t="shared" ca="1" si="6"/>
        <v>#VALUE!</v>
      </c>
      <c r="AB32" s="171" t="e">
        <f ca="1">_xll.DBRW($A$1,$C32,$B32,AB$3,AB$1,AB$2,$A32)*$D32</f>
        <v>#VALUE!</v>
      </c>
      <c r="AC32" s="25" t="e">
        <f ca="1">_xll.DBRW($A$1,$C32,$B32,AC$3,AC$1,AC$2,$A32)*$D32</f>
        <v>#VALUE!</v>
      </c>
      <c r="AD32" s="25" t="e">
        <f t="shared" ca="1" si="7"/>
        <v>#VALUE!</v>
      </c>
      <c r="AE32" s="171" t="e">
        <f ca="1">_xll.DBRW($A$1,$C32,$B32,AE$3,AE$1,AE$2,$A32)*$D32</f>
        <v>#VALUE!</v>
      </c>
      <c r="AF32" s="25" t="e">
        <f ca="1">_xll.DBRW($A$1,$C32,$B32,AF$3,AF$1,AF$2,$A32)*$D32</f>
        <v>#VALUE!</v>
      </c>
      <c r="AG32" s="25" t="e">
        <f t="shared" ca="1" si="8"/>
        <v>#VALUE!</v>
      </c>
      <c r="AH32" s="171" t="e">
        <f ca="1">_xll.DBRW($A$1,$C32,$B32,AH$3,AH$1,AH$2,$A32)*$D32</f>
        <v>#VALUE!</v>
      </c>
      <c r="AI32" s="25" t="e">
        <f ca="1">_xll.DBRW($A$1,$C32,$B32,AI$3,AI$1,AI$2,$A32)*$D32</f>
        <v>#VALUE!</v>
      </c>
      <c r="AJ32" s="25" t="e">
        <f t="shared" ca="1" si="9"/>
        <v>#VALUE!</v>
      </c>
      <c r="AK32" s="171" t="e">
        <f ca="1">_xll.DBRW($A$1,$C32,$B32,AK$3,AK$1,AK$2,$A32)*$D32</f>
        <v>#VALUE!</v>
      </c>
      <c r="AL32" s="25" t="e">
        <f ca="1">_xll.DBRW($A$1,$C32,$B32,AL$3,AL$1,AL$2,$A32)*$D32</f>
        <v>#VALUE!</v>
      </c>
      <c r="AM32" s="25" t="e">
        <f t="shared" ca="1" si="10"/>
        <v>#VALUE!</v>
      </c>
    </row>
    <row r="33" spans="1:39" ht="15" customHeight="1">
      <c r="A33" s="170" t="s">
        <v>319</v>
      </c>
      <c r="B33" s="169" t="s">
        <v>360</v>
      </c>
      <c r="C33" s="168" t="s">
        <v>133</v>
      </c>
      <c r="D33" s="168">
        <v>1</v>
      </c>
      <c r="E33" s="167" t="str">
        <f ca="1">_xll.DBRA("mfc:skz",B33,"Group")</f>
        <v>Clean Net income /loss after Minorities and hybrid capital owners (CCS)</v>
      </c>
      <c r="F33" s="214" t="s">
        <v>304</v>
      </c>
      <c r="G33" s="213" t="e">
        <f ca="1">_xll.DBRW($A$1,$C33,$B33,G$3,G$1,G$2,$A33)*$D33</f>
        <v>#VALUE!</v>
      </c>
      <c r="H33" s="59" t="e">
        <f ca="1">_xll.DBRW($A$1,$C33,$B33,H$3,H$1,H$2,$A33)*$D33</f>
        <v>#VALUE!</v>
      </c>
      <c r="I33" s="59" t="e">
        <f t="shared" ca="1" si="0"/>
        <v>#VALUE!</v>
      </c>
      <c r="J33" s="213" t="e">
        <f ca="1">_xll.DBRW($A$1,$C33,$B33,J$3,J$1,J$2,$A33)*$D33</f>
        <v>#VALUE!</v>
      </c>
      <c r="K33" s="59" t="e">
        <f ca="1">_xll.DBRW($A$1,$C33,$B33,K$3,K$1,K$2,$A33)*$D33</f>
        <v>#VALUE!</v>
      </c>
      <c r="L33" s="59" t="e">
        <f t="shared" ca="1" si="1"/>
        <v>#VALUE!</v>
      </c>
      <c r="M33" s="213" t="e">
        <f ca="1">_xll.DBRW($A$1,$C33,$B33,M$3,M$1,M$2,$A33)*$D33</f>
        <v>#VALUE!</v>
      </c>
      <c r="N33" s="59" t="e">
        <f ca="1">_xll.DBRW($A$1,$C33,$B33,N$3,N$1,N$2,$A33)*$D33</f>
        <v>#VALUE!</v>
      </c>
      <c r="O33" s="59" t="e">
        <f t="shared" ca="1" si="2"/>
        <v>#VALUE!</v>
      </c>
      <c r="P33" s="213" t="e">
        <f ca="1">_xll.DBRW($A$1,$C33,$B33,P$3,P$1,P$2,$A33)*$D33</f>
        <v>#VALUE!</v>
      </c>
      <c r="Q33" s="59" t="e">
        <f ca="1">_xll.DBRW($A$1,$C33,$B33,Q$3,Q$1,Q$2,$A33)*$D33</f>
        <v>#VALUE!</v>
      </c>
      <c r="R33" s="59" t="e">
        <f t="shared" ca="1" si="3"/>
        <v>#VALUE!</v>
      </c>
      <c r="S33" s="213" t="e">
        <f ca="1">_xll.DBRW($A$1,$C33,$B33,S$3,S$1,S$2,$A33)*$D33</f>
        <v>#VALUE!</v>
      </c>
      <c r="T33" s="59" t="e">
        <f ca="1">_xll.DBRW($A$1,$C33,$B33,T$3,T$1,T$2,$A33)*$D33</f>
        <v>#VALUE!</v>
      </c>
      <c r="U33" s="59" t="e">
        <f t="shared" ca="1" si="4"/>
        <v>#VALUE!</v>
      </c>
      <c r="V33" s="213" t="e">
        <f ca="1">_xll.DBRW($A$1,$C33,$B33,V$3,V$1,V$2,$A33)*$D33</f>
        <v>#VALUE!</v>
      </c>
      <c r="W33" s="59" t="e">
        <f ca="1">_xll.DBRW($A$1,$C33,$B33,W$3,W$1,W$2,$A33)*$D33</f>
        <v>#VALUE!</v>
      </c>
      <c r="X33" s="59" t="e">
        <f t="shared" ca="1" si="5"/>
        <v>#VALUE!</v>
      </c>
      <c r="Y33" s="213" t="e">
        <f ca="1">_xll.DBRW($A$1,$C33,$B33,Y$3,Y$1,Y$2,$A33)*$D33</f>
        <v>#VALUE!</v>
      </c>
      <c r="Z33" s="59" t="e">
        <f ca="1">_xll.DBRW($A$1,$C33,$B33,Z$3,Z$1,Z$2,$A33)*$D33</f>
        <v>#VALUE!</v>
      </c>
      <c r="AA33" s="59" t="e">
        <f t="shared" ca="1" si="6"/>
        <v>#VALUE!</v>
      </c>
      <c r="AB33" s="213" t="e">
        <f ca="1">_xll.DBRW($A$1,$C33,$B33,AB$3,AB$1,AB$2,$A33)*$D33</f>
        <v>#VALUE!</v>
      </c>
      <c r="AC33" s="59" t="e">
        <f ca="1">_xll.DBRW($A$1,$C33,$B33,AC$3,AC$1,AC$2,$A33)*$D33</f>
        <v>#VALUE!</v>
      </c>
      <c r="AD33" s="59" t="e">
        <f t="shared" ca="1" si="7"/>
        <v>#VALUE!</v>
      </c>
      <c r="AE33" s="213" t="e">
        <f ca="1">_xll.DBRW($A$1,$C33,$B33,AE$3,AE$1,AE$2,$A33)*$D33</f>
        <v>#VALUE!</v>
      </c>
      <c r="AF33" s="59" t="e">
        <f ca="1">_xll.DBRW($A$1,$C33,$B33,AF$3,AF$1,AF$2,$A33)*$D33</f>
        <v>#VALUE!</v>
      </c>
      <c r="AG33" s="59" t="e">
        <f t="shared" ca="1" si="8"/>
        <v>#VALUE!</v>
      </c>
      <c r="AH33" s="213" t="e">
        <f ca="1">_xll.DBRW($A$1,$C33,$B33,AH$3,AH$1,AH$2,$A33)*$D33</f>
        <v>#VALUE!</v>
      </c>
      <c r="AI33" s="59" t="e">
        <f ca="1">_xll.DBRW($A$1,$C33,$B33,AI$3,AI$1,AI$2,$A33)*$D33</f>
        <v>#VALUE!</v>
      </c>
      <c r="AJ33" s="59" t="e">
        <f t="shared" ca="1" si="9"/>
        <v>#VALUE!</v>
      </c>
      <c r="AK33" s="213" t="e">
        <f ca="1">_xll.DBRW($A$1,$C33,$B33,AK$3,AK$1,AK$2,$A33)*$D33</f>
        <v>#VALUE!</v>
      </c>
      <c r="AL33" s="59" t="e">
        <f ca="1">_xll.DBRW($A$1,$C33,$B33,AL$3,AL$1,AL$2,$A33)*$D33</f>
        <v>#VALUE!</v>
      </c>
      <c r="AM33" s="59" t="e">
        <f t="shared" ca="1" si="10"/>
        <v>#VALUE!</v>
      </c>
    </row>
    <row r="34" spans="1:39" ht="15" customHeight="1">
      <c r="A34" s="170" t="s">
        <v>319</v>
      </c>
      <c r="B34" s="169" t="s">
        <v>359</v>
      </c>
      <c r="C34" s="168" t="s">
        <v>355</v>
      </c>
      <c r="D34" s="168">
        <v>1</v>
      </c>
      <c r="E34" s="167" t="str">
        <f ca="1">_xll.DBRA("mfc:skz",B34,"Group")</f>
        <v>Earnings per Share</v>
      </c>
      <c r="F34" s="210" t="s">
        <v>2</v>
      </c>
      <c r="G34" s="212" t="e">
        <f ca="1">_xll.DBRW($A$1,$C34,$B34,G$3,G$1,G$2,$A34)*$D34</f>
        <v>#VALUE!</v>
      </c>
      <c r="H34" s="60" t="e">
        <f ca="1">_xll.DBRW($A$1,$C34,$B34,H$3,H$1,H$2,$A34)*$D34</f>
        <v>#VALUE!</v>
      </c>
      <c r="I34" s="60" t="e">
        <f t="shared" ca="1" si="0"/>
        <v>#VALUE!</v>
      </c>
      <c r="J34" s="212" t="e">
        <f ca="1">_xll.DBRW($A$1,$C34,$B34,J$3,J$1,J$2,$A34)*$D34</f>
        <v>#VALUE!</v>
      </c>
      <c r="K34" s="60" t="e">
        <f ca="1">_xll.DBRW($A$1,$C34,$B34,K$3,K$1,K$2,$A34)*$D34</f>
        <v>#VALUE!</v>
      </c>
      <c r="L34" s="60" t="e">
        <f t="shared" ca="1" si="1"/>
        <v>#VALUE!</v>
      </c>
      <c r="M34" s="212" t="e">
        <f ca="1">_xll.DBRW($A$1,$C34,$B34,M$3,M$1,M$2,$A34)*$D34</f>
        <v>#VALUE!</v>
      </c>
      <c r="N34" s="60" t="e">
        <f ca="1">_xll.DBRW($A$1,$C34,$B34,N$3,N$1,N$2,$A34)*$D34</f>
        <v>#VALUE!</v>
      </c>
      <c r="O34" s="60" t="e">
        <f t="shared" ca="1" si="2"/>
        <v>#VALUE!</v>
      </c>
      <c r="P34" s="212" t="e">
        <f ca="1">_xll.DBRW($A$1,$C34,$B34,P$3,P$1,P$2,$A34)*$D34</f>
        <v>#VALUE!</v>
      </c>
      <c r="Q34" s="60" t="e">
        <f ca="1">_xll.DBRW($A$1,$C34,$B34,Q$3,Q$1,Q$2,$A34)*$D34</f>
        <v>#VALUE!</v>
      </c>
      <c r="R34" s="60" t="e">
        <f t="shared" ca="1" si="3"/>
        <v>#VALUE!</v>
      </c>
      <c r="S34" s="212" t="e">
        <f ca="1">_xll.DBRW($A$1,$C34,$B34,S$3,S$1,S$2,$A34)*$D34</f>
        <v>#VALUE!</v>
      </c>
      <c r="T34" s="60" t="e">
        <f ca="1">_xll.DBRW($A$1,$C34,$B34,T$3,T$1,T$2,$A34)*$D34</f>
        <v>#VALUE!</v>
      </c>
      <c r="U34" s="60" t="e">
        <f t="shared" ca="1" si="4"/>
        <v>#VALUE!</v>
      </c>
      <c r="V34" s="212" t="e">
        <f ca="1">_xll.DBRW($A$1,$C34,$B34,V$3,V$1,V$2,$A34)*$D34</f>
        <v>#VALUE!</v>
      </c>
      <c r="W34" s="60" t="e">
        <f ca="1">_xll.DBRW($A$1,$C34,$B34,W$3,W$1,W$2,$A34)*$D34</f>
        <v>#VALUE!</v>
      </c>
      <c r="X34" s="60" t="e">
        <f t="shared" ca="1" si="5"/>
        <v>#VALUE!</v>
      </c>
      <c r="Y34" s="212" t="e">
        <f ca="1">_xll.DBRW($A$1,$C34,$B34,Y$3,Y$1,Y$2,$A34)*$D34</f>
        <v>#VALUE!</v>
      </c>
      <c r="Z34" s="60" t="e">
        <f ca="1">_xll.DBRW($A$1,$C34,$B34,Z$3,Z$1,Z$2,$A34)*$D34</f>
        <v>#VALUE!</v>
      </c>
      <c r="AA34" s="60" t="e">
        <f t="shared" ca="1" si="6"/>
        <v>#VALUE!</v>
      </c>
      <c r="AB34" s="212" t="e">
        <f ca="1">_xll.DBRW($A$1,$C34,$B34,AB$3,AB$1,AB$2,$A34)*$D34</f>
        <v>#VALUE!</v>
      </c>
      <c r="AC34" s="60" t="e">
        <f ca="1">_xll.DBRW($A$1,$C34,$B34,AC$3,AC$1,AC$2,$A34)*$D34</f>
        <v>#VALUE!</v>
      </c>
      <c r="AD34" s="60" t="e">
        <f t="shared" ca="1" si="7"/>
        <v>#VALUE!</v>
      </c>
      <c r="AE34" s="212" t="e">
        <f ca="1">_xll.DBRW($A$1,$C34,$B34,AE$3,AE$1,AE$2,$A34)*$D34</f>
        <v>#VALUE!</v>
      </c>
      <c r="AF34" s="60" t="e">
        <f ca="1">_xll.DBRW($A$1,$C34,$B34,AF$3,AF$1,AF$2,$A34)*$D34</f>
        <v>#VALUE!</v>
      </c>
      <c r="AG34" s="60" t="e">
        <f t="shared" ca="1" si="8"/>
        <v>#VALUE!</v>
      </c>
      <c r="AH34" s="212" t="e">
        <f ca="1">_xll.DBRW($A$1,$C34,$B34,AH$3,AH$1,AH$2,$A34)*$D34</f>
        <v>#VALUE!</v>
      </c>
      <c r="AI34" s="60" t="e">
        <f ca="1">_xll.DBRW($A$1,$C34,$B34,AI$3,AI$1,AI$2,$A34)*$D34</f>
        <v>#VALUE!</v>
      </c>
      <c r="AJ34" s="60" t="e">
        <f t="shared" ca="1" si="9"/>
        <v>#VALUE!</v>
      </c>
      <c r="AK34" s="212" t="e">
        <f ca="1">_xll.DBRW($A$1,$C34,$B34,AK$3,AK$1,AK$2,$A34)*$D34</f>
        <v>#VALUE!</v>
      </c>
      <c r="AL34" s="60" t="e">
        <f ca="1">_xll.DBRW($A$1,$C34,$B34,AL$3,AL$1,AL$2,$A34)*$D34</f>
        <v>#VALUE!</v>
      </c>
      <c r="AM34" s="60" t="e">
        <f t="shared" ca="1" si="10"/>
        <v>#VALUE!</v>
      </c>
    </row>
    <row r="35" spans="1:39" ht="15" customHeight="1">
      <c r="A35" s="170" t="s">
        <v>319</v>
      </c>
      <c r="B35" s="169" t="s">
        <v>358</v>
      </c>
      <c r="C35" s="168" t="s">
        <v>355</v>
      </c>
      <c r="D35" s="168">
        <v>1</v>
      </c>
      <c r="E35" s="167" t="str">
        <f ca="1">_xll.DBRA("mfc:skz",B35,"Group")</f>
        <v>Clean Earnings per Share (CCS)</v>
      </c>
      <c r="F35" s="39" t="s">
        <v>303</v>
      </c>
      <c r="G35" s="189" t="e">
        <f ca="1">_xll.DBRW($A$1,$C35,$B35,G$3,G$1,G$2,$A35)*$D35</f>
        <v>#VALUE!</v>
      </c>
      <c r="H35" s="23" t="e">
        <f ca="1">_xll.DBRW($A$1,$C35,$B35,H$3,H$1,H$2,$A35)*$D35</f>
        <v>#VALUE!</v>
      </c>
      <c r="I35" s="23" t="e">
        <f t="shared" ca="1" si="0"/>
        <v>#VALUE!</v>
      </c>
      <c r="J35" s="189" t="e">
        <f ca="1">_xll.DBRW($A$1,$C35,$B35,J$3,J$1,J$2,$A35)*$D35</f>
        <v>#VALUE!</v>
      </c>
      <c r="K35" s="23" t="e">
        <f ca="1">_xll.DBRW($A$1,$C35,$B35,K$3,K$1,K$2,$A35)*$D35</f>
        <v>#VALUE!</v>
      </c>
      <c r="L35" s="23" t="e">
        <f t="shared" ca="1" si="1"/>
        <v>#VALUE!</v>
      </c>
      <c r="M35" s="189" t="e">
        <f ca="1">_xll.DBRW($A$1,$C35,$B35,M$3,M$1,M$2,$A35)*$D35</f>
        <v>#VALUE!</v>
      </c>
      <c r="N35" s="23" t="e">
        <f ca="1">_xll.DBRW($A$1,$C35,$B35,N$3,N$1,N$2,$A35)*$D35</f>
        <v>#VALUE!</v>
      </c>
      <c r="O35" s="23" t="e">
        <f t="shared" ca="1" si="2"/>
        <v>#VALUE!</v>
      </c>
      <c r="P35" s="189" t="e">
        <f ca="1">_xll.DBRW($A$1,$C35,$B35,P$3,P$1,P$2,$A35)*$D35</f>
        <v>#VALUE!</v>
      </c>
      <c r="Q35" s="23" t="e">
        <f ca="1">_xll.DBRW($A$1,$C35,$B35,Q$3,Q$1,Q$2,$A35)*$D35</f>
        <v>#VALUE!</v>
      </c>
      <c r="R35" s="23" t="e">
        <f t="shared" ca="1" si="3"/>
        <v>#VALUE!</v>
      </c>
      <c r="S35" s="189" t="e">
        <f ca="1">_xll.DBRW($A$1,$C35,$B35,S$3,S$1,S$2,$A35)*$D35</f>
        <v>#VALUE!</v>
      </c>
      <c r="T35" s="23" t="e">
        <f ca="1">_xll.DBRW($A$1,$C35,$B35,T$3,T$1,T$2,$A35)*$D35</f>
        <v>#VALUE!</v>
      </c>
      <c r="U35" s="23" t="e">
        <f t="shared" ca="1" si="4"/>
        <v>#VALUE!</v>
      </c>
      <c r="V35" s="189" t="e">
        <f ca="1">_xll.DBRW($A$1,$C35,$B35,V$3,V$1,V$2,$A35)*$D35</f>
        <v>#VALUE!</v>
      </c>
      <c r="W35" s="23" t="e">
        <f ca="1">_xll.DBRW($A$1,$C35,$B35,W$3,W$1,W$2,$A35)*$D35</f>
        <v>#VALUE!</v>
      </c>
      <c r="X35" s="23" t="e">
        <f t="shared" ca="1" si="5"/>
        <v>#VALUE!</v>
      </c>
      <c r="Y35" s="189" t="e">
        <f ca="1">_xll.DBRW($A$1,$C35,$B35,Y$3,Y$1,Y$2,$A35)*$D35</f>
        <v>#VALUE!</v>
      </c>
      <c r="Z35" s="23" t="e">
        <f ca="1">_xll.DBRW($A$1,$C35,$B35,Z$3,Z$1,Z$2,$A35)*$D35</f>
        <v>#VALUE!</v>
      </c>
      <c r="AA35" s="23" t="e">
        <f t="shared" ca="1" si="6"/>
        <v>#VALUE!</v>
      </c>
      <c r="AB35" s="189" t="e">
        <f ca="1">_xll.DBRW($A$1,$C35,$B35,AB$3,AB$1,AB$2,$A35)*$D35</f>
        <v>#VALUE!</v>
      </c>
      <c r="AC35" s="23" t="e">
        <f ca="1">_xll.DBRW($A$1,$C35,$B35,AC$3,AC$1,AC$2,$A35)*$D35</f>
        <v>#VALUE!</v>
      </c>
      <c r="AD35" s="23" t="e">
        <f t="shared" ca="1" si="7"/>
        <v>#VALUE!</v>
      </c>
      <c r="AE35" s="189" t="e">
        <f ca="1">_xll.DBRW($A$1,$C35,$B35,AE$3,AE$1,AE$2,$A35)*$D35</f>
        <v>#VALUE!</v>
      </c>
      <c r="AF35" s="23" t="e">
        <f ca="1">_xll.DBRW($A$1,$C35,$B35,AF$3,AF$1,AF$2,$A35)*$D35</f>
        <v>#VALUE!</v>
      </c>
      <c r="AG35" s="23" t="e">
        <f t="shared" ca="1" si="8"/>
        <v>#VALUE!</v>
      </c>
      <c r="AH35" s="189" t="e">
        <f ca="1">_xll.DBRW($A$1,$C35,$B35,AH$3,AH$1,AH$2,$A35)*$D35</f>
        <v>#VALUE!</v>
      </c>
      <c r="AI35" s="23" t="e">
        <f ca="1">_xll.DBRW($A$1,$C35,$B35,AI$3,AI$1,AI$2,$A35)*$D35</f>
        <v>#VALUE!</v>
      </c>
      <c r="AJ35" s="23" t="e">
        <f t="shared" ca="1" si="9"/>
        <v>#VALUE!</v>
      </c>
      <c r="AK35" s="189" t="e">
        <f ca="1">_xll.DBRW($A$1,$C35,$B35,AK$3,AK$1,AK$2,$A35)*$D35</f>
        <v>#VALUE!</v>
      </c>
      <c r="AL35" s="23" t="e">
        <f ca="1">_xll.DBRW($A$1,$C35,$B35,AL$3,AL$1,AL$2,$A35)*$D35</f>
        <v>#VALUE!</v>
      </c>
      <c r="AM35" s="23" t="e">
        <f t="shared" ca="1" si="10"/>
        <v>#VALUE!</v>
      </c>
    </row>
    <row r="36" spans="1:39" ht="15" customHeight="1">
      <c r="A36" s="170" t="s">
        <v>319</v>
      </c>
      <c r="B36" s="169" t="s">
        <v>357</v>
      </c>
      <c r="C36" s="168" t="s">
        <v>133</v>
      </c>
      <c r="D36" s="168">
        <v>1</v>
      </c>
      <c r="E36" s="167" t="str">
        <f ca="1">_xll.DBRA("mfc:skz",B36,"Group")</f>
        <v>Cash flow from operating activities</v>
      </c>
      <c r="F36" s="37" t="s">
        <v>8</v>
      </c>
      <c r="G36" s="206" t="e">
        <f ca="1">_xll.DBRW($A$1,$C36,$B36,G$3,G$1,G$2,$A36)*$D36</f>
        <v>#VALUE!</v>
      </c>
      <c r="H36" s="205" t="e">
        <f ca="1">_xll.DBRW($A$1,$C36,$B36,H$3,H$1,H$2,$A36)*$D36</f>
        <v>#VALUE!</v>
      </c>
      <c r="I36" s="205" t="e">
        <f t="shared" ca="1" si="0"/>
        <v>#VALUE!</v>
      </c>
      <c r="J36" s="206" t="e">
        <f ca="1">_xll.DBRW($A$1,$C36,$B36,J$3,J$1,J$2,$A36)*$D36</f>
        <v>#VALUE!</v>
      </c>
      <c r="K36" s="205" t="e">
        <f ca="1">_xll.DBRW($A$1,$C36,$B36,K$3,K$1,K$2,$A36)*$D36</f>
        <v>#VALUE!</v>
      </c>
      <c r="L36" s="205" t="e">
        <f t="shared" ca="1" si="1"/>
        <v>#VALUE!</v>
      </c>
      <c r="M36" s="206" t="e">
        <f ca="1">_xll.DBRW($A$1,$C36,$B36,M$3,M$1,M$2,$A36)*$D36</f>
        <v>#VALUE!</v>
      </c>
      <c r="N36" s="205" t="e">
        <f ca="1">_xll.DBRW($A$1,$C36,$B36,N$3,N$1,N$2,$A36)*$D36</f>
        <v>#VALUE!</v>
      </c>
      <c r="O36" s="205" t="e">
        <f t="shared" ca="1" si="2"/>
        <v>#VALUE!</v>
      </c>
      <c r="P36" s="206" t="e">
        <f ca="1">_xll.DBRW($A$1,$C36,$B36,P$3,P$1,P$2,$A36)*$D36</f>
        <v>#VALUE!</v>
      </c>
      <c r="Q36" s="205" t="e">
        <f ca="1">_xll.DBRW($A$1,$C36,$B36,Q$3,Q$1,Q$2,$A36)*$D36</f>
        <v>#VALUE!</v>
      </c>
      <c r="R36" s="205" t="e">
        <f t="shared" ca="1" si="3"/>
        <v>#VALUE!</v>
      </c>
      <c r="S36" s="206" t="e">
        <f ca="1">_xll.DBRW($A$1,$C36,$B36,S$3,S$1,S$2,$A36)*$D36</f>
        <v>#VALUE!</v>
      </c>
      <c r="T36" s="205" t="e">
        <f ca="1">_xll.DBRW($A$1,$C36,$B36,T$3,T$1,T$2,$A36)*$D36</f>
        <v>#VALUE!</v>
      </c>
      <c r="U36" s="205" t="e">
        <f t="shared" ca="1" si="4"/>
        <v>#VALUE!</v>
      </c>
      <c r="V36" s="206" t="e">
        <f ca="1">_xll.DBRW($A$1,$C36,$B36,V$3,V$1,V$2,$A36)*$D36</f>
        <v>#VALUE!</v>
      </c>
      <c r="W36" s="205" t="e">
        <f ca="1">_xll.DBRW($A$1,$C36,$B36,W$3,W$1,W$2,$A36)*$D36</f>
        <v>#VALUE!</v>
      </c>
      <c r="X36" s="205" t="e">
        <f t="shared" ca="1" si="5"/>
        <v>#VALUE!</v>
      </c>
      <c r="Y36" s="206" t="e">
        <f ca="1">_xll.DBRW($A$1,$C36,$B36,Y$3,Y$1,Y$2,$A36)*$D36</f>
        <v>#VALUE!</v>
      </c>
      <c r="Z36" s="205" t="e">
        <f ca="1">_xll.DBRW($A$1,$C36,$B36,Z$3,Z$1,Z$2,$A36)*$D36</f>
        <v>#VALUE!</v>
      </c>
      <c r="AA36" s="205" t="e">
        <f t="shared" ca="1" si="6"/>
        <v>#VALUE!</v>
      </c>
      <c r="AB36" s="206" t="e">
        <f ca="1">_xll.DBRW($A$1,$C36,$B36,AB$3,AB$1,AB$2,$A36)*$D36</f>
        <v>#VALUE!</v>
      </c>
      <c r="AC36" s="205" t="e">
        <f ca="1">_xll.DBRW($A$1,$C36,$B36,AC$3,AC$1,AC$2,$A36)*$D36</f>
        <v>#VALUE!</v>
      </c>
      <c r="AD36" s="205" t="e">
        <f t="shared" ca="1" si="7"/>
        <v>#VALUE!</v>
      </c>
      <c r="AE36" s="206" t="e">
        <f ca="1">_xll.DBRW($A$1,$C36,$B36,AE$3,AE$1,AE$2,$A36)*$D36</f>
        <v>#VALUE!</v>
      </c>
      <c r="AF36" s="205" t="e">
        <f ca="1">_xll.DBRW($A$1,$C36,$B36,AF$3,AF$1,AF$2,$A36)*$D36</f>
        <v>#VALUE!</v>
      </c>
      <c r="AG36" s="205" t="e">
        <f t="shared" ca="1" si="8"/>
        <v>#VALUE!</v>
      </c>
      <c r="AH36" s="206" t="e">
        <f ca="1">_xll.DBRW($A$1,$C36,$B36,AH$3,AH$1,AH$2,$A36)*$D36</f>
        <v>#VALUE!</v>
      </c>
      <c r="AI36" s="205" t="e">
        <f ca="1">_xll.DBRW($A$1,$C36,$B36,AI$3,AI$1,AI$2,$A36)*$D36</f>
        <v>#VALUE!</v>
      </c>
      <c r="AJ36" s="205" t="e">
        <f t="shared" ca="1" si="9"/>
        <v>#VALUE!</v>
      </c>
      <c r="AK36" s="206" t="e">
        <f ca="1">_xll.DBRW($A$1,$C36,$B36,AK$3,AK$1,AK$2,$A36)*$D36</f>
        <v>#VALUE!</v>
      </c>
      <c r="AL36" s="205" t="e">
        <f ca="1">_xll.DBRW($A$1,$C36,$B36,AL$3,AL$1,AL$2,$A36)*$D36</f>
        <v>#VALUE!</v>
      </c>
      <c r="AM36" s="205" t="e">
        <f t="shared" ca="1" si="10"/>
        <v>#VALUE!</v>
      </c>
    </row>
    <row r="37" spans="1:39" ht="15" customHeight="1">
      <c r="A37" s="170" t="s">
        <v>319</v>
      </c>
      <c r="B37" s="169" t="s">
        <v>356</v>
      </c>
      <c r="C37" s="168" t="s">
        <v>355</v>
      </c>
      <c r="D37" s="168">
        <v>1</v>
      </c>
      <c r="E37" s="167" t="str">
        <f ca="1">_xll.DBRA("mfc:skz",B37,"Group")</f>
        <v>Cash-flow per Share</v>
      </c>
      <c r="F37" s="33" t="s">
        <v>116</v>
      </c>
      <c r="G37" s="184" t="e">
        <f ca="1">_xll.DBRW($A$1,$C37,$B37,G$3,G$1,G$2,$A37)*$D37</f>
        <v>#VALUE!</v>
      </c>
      <c r="H37" s="23" t="e">
        <f ca="1">_xll.DBRW($A$1,$C37,$B37,H$3,H$1,H$2,$A37)*$D37</f>
        <v>#VALUE!</v>
      </c>
      <c r="I37" s="23" t="e">
        <f t="shared" ca="1" si="0"/>
        <v>#VALUE!</v>
      </c>
      <c r="J37" s="184" t="e">
        <f ca="1">_xll.DBRW($A$1,$C37,$B37,J$3,J$1,J$2,$A37)*$D37</f>
        <v>#VALUE!</v>
      </c>
      <c r="K37" s="23" t="e">
        <f ca="1">_xll.DBRW($A$1,$C37,$B37,K$3,K$1,K$2,$A37)*$D37</f>
        <v>#VALUE!</v>
      </c>
      <c r="L37" s="23" t="e">
        <f t="shared" ca="1" si="1"/>
        <v>#VALUE!</v>
      </c>
      <c r="M37" s="184" t="e">
        <f ca="1">_xll.DBRW($A$1,$C37,$B37,M$3,M$1,M$2,$A37)*$D37</f>
        <v>#VALUE!</v>
      </c>
      <c r="N37" s="23" t="e">
        <f ca="1">_xll.DBRW($A$1,$C37,$B37,N$3,N$1,N$2,$A37)*$D37</f>
        <v>#VALUE!</v>
      </c>
      <c r="O37" s="23" t="e">
        <f t="shared" ca="1" si="2"/>
        <v>#VALUE!</v>
      </c>
      <c r="P37" s="184" t="e">
        <f ca="1">_xll.DBRW($A$1,$C37,$B37,P$3,P$1,P$2,$A37)*$D37</f>
        <v>#VALUE!</v>
      </c>
      <c r="Q37" s="23" t="e">
        <f ca="1">_xll.DBRW($A$1,$C37,$B37,Q$3,Q$1,Q$2,$A37)*$D37</f>
        <v>#VALUE!</v>
      </c>
      <c r="R37" s="23" t="e">
        <f t="shared" ca="1" si="3"/>
        <v>#VALUE!</v>
      </c>
      <c r="S37" s="184" t="e">
        <f ca="1">_xll.DBRW($A$1,$C37,$B37,S$3,S$1,S$2,$A37)*$D37</f>
        <v>#VALUE!</v>
      </c>
      <c r="T37" s="23" t="e">
        <f ca="1">_xll.DBRW($A$1,$C37,$B37,T$3,T$1,T$2,$A37)*$D37</f>
        <v>#VALUE!</v>
      </c>
      <c r="U37" s="23" t="e">
        <f t="shared" ca="1" si="4"/>
        <v>#VALUE!</v>
      </c>
      <c r="V37" s="184" t="e">
        <f ca="1">_xll.DBRW($A$1,$C37,$B37,V$3,V$1,V$2,$A37)*$D37</f>
        <v>#VALUE!</v>
      </c>
      <c r="W37" s="23" t="e">
        <f ca="1">_xll.DBRW($A$1,$C37,$B37,W$3,W$1,W$2,$A37)*$D37</f>
        <v>#VALUE!</v>
      </c>
      <c r="X37" s="23" t="e">
        <f t="shared" ca="1" si="5"/>
        <v>#VALUE!</v>
      </c>
      <c r="Y37" s="184" t="e">
        <f ca="1">_xll.DBRW($A$1,$C37,$B37,Y$3,Y$1,Y$2,$A37)*$D37</f>
        <v>#VALUE!</v>
      </c>
      <c r="Z37" s="23" t="e">
        <f ca="1">_xll.DBRW($A$1,$C37,$B37,Z$3,Z$1,Z$2,$A37)*$D37</f>
        <v>#VALUE!</v>
      </c>
      <c r="AA37" s="23" t="e">
        <f t="shared" ca="1" si="6"/>
        <v>#VALUE!</v>
      </c>
      <c r="AB37" s="184" t="e">
        <f ca="1">_xll.DBRW($A$1,$C37,$B37,AB$3,AB$1,AB$2,$A37)*$D37</f>
        <v>#VALUE!</v>
      </c>
      <c r="AC37" s="23" t="e">
        <f ca="1">_xll.DBRW($A$1,$C37,$B37,AC$3,AC$1,AC$2,$A37)*$D37</f>
        <v>#VALUE!</v>
      </c>
      <c r="AD37" s="23" t="e">
        <f t="shared" ca="1" si="7"/>
        <v>#VALUE!</v>
      </c>
      <c r="AE37" s="184" t="e">
        <f ca="1">_xll.DBRW($A$1,$C37,$B37,AE$3,AE$1,AE$2,$A37)*$D37</f>
        <v>#VALUE!</v>
      </c>
      <c r="AF37" s="23" t="e">
        <f ca="1">_xll.DBRW($A$1,$C37,$B37,AF$3,AF$1,AF$2,$A37)*$D37</f>
        <v>#VALUE!</v>
      </c>
      <c r="AG37" s="23" t="e">
        <f t="shared" ca="1" si="8"/>
        <v>#VALUE!</v>
      </c>
      <c r="AH37" s="184" t="e">
        <f ca="1">_xll.DBRW($A$1,$C37,$B37,AH$3,AH$1,AH$2,$A37)*$D37</f>
        <v>#VALUE!</v>
      </c>
      <c r="AI37" s="23" t="e">
        <f ca="1">_xll.DBRW($A$1,$C37,$B37,AI$3,AI$1,AI$2,$A37)*$D37</f>
        <v>#VALUE!</v>
      </c>
      <c r="AJ37" s="23" t="e">
        <f t="shared" ca="1" si="9"/>
        <v>#VALUE!</v>
      </c>
      <c r="AK37" s="184" t="e">
        <f ca="1">_xll.DBRW($A$1,$C37,$B37,AK$3,AK$1,AK$2,$A37)*$D37</f>
        <v>#VALUE!</v>
      </c>
      <c r="AL37" s="23" t="e">
        <f ca="1">_xll.DBRW($A$1,$C37,$B37,AL$3,AL$1,AL$2,$A37)*$D37</f>
        <v>#VALUE!</v>
      </c>
      <c r="AM37" s="23" t="e">
        <f t="shared" ca="1" si="10"/>
        <v>#VALUE!</v>
      </c>
    </row>
    <row r="38" spans="1:39" ht="15" customHeight="1">
      <c r="A38" s="170" t="s">
        <v>319</v>
      </c>
      <c r="B38" s="169" t="s">
        <v>354</v>
      </c>
      <c r="C38" s="168" t="s">
        <v>133</v>
      </c>
      <c r="D38" s="168">
        <v>1</v>
      </c>
      <c r="E38" s="167" t="str">
        <f ca="1">_xll.DBRA("mfc:skz",B38,"Group")</f>
        <v>Net Debt (reported)</v>
      </c>
      <c r="F38" s="211" t="s">
        <v>9</v>
      </c>
      <c r="G38" s="206" t="e">
        <f ca="1">_xll.DBRW($A$1,$C38,$B38,G$3,G$1,G$2,$A38)*$D38</f>
        <v>#VALUE!</v>
      </c>
      <c r="H38" s="205" t="e">
        <f ca="1">_xll.DBRW($A$1,$C38,$B38,H$3,H$1,H$2,$A38)*$D38</f>
        <v>#VALUE!</v>
      </c>
      <c r="I38" s="205" t="e">
        <f t="shared" ca="1" si="0"/>
        <v>#VALUE!</v>
      </c>
      <c r="J38" s="206" t="e">
        <f ca="1">_xll.DBRW($A$1,$C38,$B38,J$3,J$1,J$2,$A38)*$D38</f>
        <v>#VALUE!</v>
      </c>
      <c r="K38" s="205" t="e">
        <f ca="1">_xll.DBRW($A$1,$C38,$B38,K$3,K$1,K$2,$A38)*$D38</f>
        <v>#VALUE!</v>
      </c>
      <c r="L38" s="205" t="e">
        <f t="shared" ca="1" si="1"/>
        <v>#VALUE!</v>
      </c>
      <c r="M38" s="206" t="e">
        <f ca="1">_xll.DBRW($A$1,$C38,$B38,M$3,M$1,M$2,$A38)*$D38</f>
        <v>#VALUE!</v>
      </c>
      <c r="N38" s="205" t="e">
        <f ca="1">_xll.DBRW($A$1,$C38,$B38,N$3,N$1,N$2,$A38)*$D38</f>
        <v>#VALUE!</v>
      </c>
      <c r="O38" s="205" t="e">
        <f t="shared" ca="1" si="2"/>
        <v>#VALUE!</v>
      </c>
      <c r="P38" s="206" t="e">
        <f ca="1">_xll.DBRW($A$1,$C38,$B38,P$3,P$1,P$2,$A38)*$D38</f>
        <v>#VALUE!</v>
      </c>
      <c r="Q38" s="205" t="e">
        <f ca="1">_xll.DBRW($A$1,$C38,$B38,Q$3,Q$1,Q$2,$A38)*$D38</f>
        <v>#VALUE!</v>
      </c>
      <c r="R38" s="205" t="e">
        <f t="shared" ca="1" si="3"/>
        <v>#VALUE!</v>
      </c>
      <c r="S38" s="206" t="e">
        <f ca="1">_xll.DBRW($A$1,$C38,$B38,S$3,S$1,S$2,$A38)*$D38</f>
        <v>#VALUE!</v>
      </c>
      <c r="T38" s="205" t="e">
        <f ca="1">_xll.DBRW($A$1,$C38,$B38,T$3,T$1,T$2,$A38)*$D38</f>
        <v>#VALUE!</v>
      </c>
      <c r="U38" s="205" t="e">
        <f t="shared" ca="1" si="4"/>
        <v>#VALUE!</v>
      </c>
      <c r="V38" s="206" t="e">
        <f ca="1">_xll.DBRW($A$1,$C38,$B38,V$3,V$1,V$2,$A38)*$D38</f>
        <v>#VALUE!</v>
      </c>
      <c r="W38" s="205" t="e">
        <f ca="1">_xll.DBRW($A$1,$C38,$B38,W$3,W$1,W$2,$A38)*$D38</f>
        <v>#VALUE!</v>
      </c>
      <c r="X38" s="205" t="e">
        <f t="shared" ca="1" si="5"/>
        <v>#VALUE!</v>
      </c>
      <c r="Y38" s="206" t="e">
        <f ca="1">_xll.DBRW($A$1,$C38,$B38,Y$3,Y$1,Y$2,$A38)*$D38</f>
        <v>#VALUE!</v>
      </c>
      <c r="Z38" s="205" t="e">
        <f ca="1">_xll.DBRW($A$1,$C38,$B38,Z$3,Z$1,Z$2,$A38)*$D38</f>
        <v>#VALUE!</v>
      </c>
      <c r="AA38" s="205" t="e">
        <f t="shared" ca="1" si="6"/>
        <v>#VALUE!</v>
      </c>
      <c r="AB38" s="206" t="e">
        <f ca="1">_xll.DBRW($A$1,$C38,$B38,AB$3,AB$1,AB$2,$A38)*$D38</f>
        <v>#VALUE!</v>
      </c>
      <c r="AC38" s="205" t="e">
        <f ca="1">_xll.DBRW($A$1,$C38,$B38,AC$3,AC$1,AC$2,$A38)*$D38</f>
        <v>#VALUE!</v>
      </c>
      <c r="AD38" s="205" t="e">
        <f t="shared" ca="1" si="7"/>
        <v>#VALUE!</v>
      </c>
      <c r="AE38" s="206" t="e">
        <f ca="1">_xll.DBRW($A$1,$C38,$B38,AE$3,AE$1,AE$2,$A38)*$D38</f>
        <v>#VALUE!</v>
      </c>
      <c r="AF38" s="205" t="e">
        <f ca="1">_xll.DBRW($A$1,$C38,$B38,AF$3,AF$1,AF$2,$A38)*$D38</f>
        <v>#VALUE!</v>
      </c>
      <c r="AG38" s="205" t="e">
        <f t="shared" ca="1" si="8"/>
        <v>#VALUE!</v>
      </c>
      <c r="AH38" s="206" t="e">
        <f ca="1">_xll.DBRW($A$1,$C38,$B38,AH$3,AH$1,AH$2,$A38)*$D38</f>
        <v>#VALUE!</v>
      </c>
      <c r="AI38" s="205" t="e">
        <f ca="1">_xll.DBRW($A$1,$C38,$B38,AI$3,AI$1,AI$2,$A38)*$D38</f>
        <v>#VALUE!</v>
      </c>
      <c r="AJ38" s="205" t="e">
        <f t="shared" ca="1" si="9"/>
        <v>#VALUE!</v>
      </c>
      <c r="AK38" s="206" t="e">
        <f ca="1">_xll.DBRW($A$1,$C38,$B38,AK$3,AK$1,AK$2,$A38)*$D38</f>
        <v>#VALUE!</v>
      </c>
      <c r="AL38" s="205" t="e">
        <f ca="1">_xll.DBRW($A$1,$C38,$B38,AL$3,AL$1,AL$2,$A38)*$D38</f>
        <v>#VALUE!</v>
      </c>
      <c r="AM38" s="205" t="e">
        <f t="shared" ca="1" si="10"/>
        <v>#VALUE!</v>
      </c>
    </row>
    <row r="39" spans="1:39" ht="15" customHeight="1">
      <c r="A39" s="170" t="s">
        <v>319</v>
      </c>
      <c r="B39" s="169" t="s">
        <v>353</v>
      </c>
      <c r="C39" s="168" t="s">
        <v>351</v>
      </c>
      <c r="D39" s="168">
        <v>100</v>
      </c>
      <c r="E39" s="167" t="str">
        <f ca="1">_xll.DBRA("mfc:skz",B39,"Group")</f>
        <v>Gearing ratio</v>
      </c>
      <c r="F39" s="187" t="s">
        <v>125</v>
      </c>
      <c r="G39" s="171" t="e">
        <f ca="1">_xll.DBRW($A$1,$C39,$B39,G$3,G$1,G$2,$A39)*$D39</f>
        <v>#VALUE!</v>
      </c>
      <c r="H39" s="25" t="e">
        <f ca="1">_xll.DBRW($A$1,$C39,$B39,H$3,H$1,H$2,$A39)*$D39</f>
        <v>#VALUE!</v>
      </c>
      <c r="I39" s="25" t="e">
        <f t="shared" ca="1" si="0"/>
        <v>#VALUE!</v>
      </c>
      <c r="J39" s="171" t="e">
        <f ca="1">_xll.DBRW($A$1,$C39,$B39,J$3,J$1,J$2,$A39)*$D39</f>
        <v>#VALUE!</v>
      </c>
      <c r="K39" s="25" t="e">
        <f ca="1">_xll.DBRW($A$1,$C39,$B39,K$3,K$1,K$2,$A39)*$D39</f>
        <v>#VALUE!</v>
      </c>
      <c r="L39" s="25" t="e">
        <f t="shared" ca="1" si="1"/>
        <v>#VALUE!</v>
      </c>
      <c r="M39" s="171" t="e">
        <f ca="1">_xll.DBRW($A$1,$C39,$B39,M$3,M$1,M$2,$A39)*$D39</f>
        <v>#VALUE!</v>
      </c>
      <c r="N39" s="25" t="e">
        <f ca="1">_xll.DBRW($A$1,$C39,$B39,N$3,N$1,N$2,$A39)*$D39</f>
        <v>#VALUE!</v>
      </c>
      <c r="O39" s="25" t="e">
        <f t="shared" ca="1" si="2"/>
        <v>#VALUE!</v>
      </c>
      <c r="P39" s="171" t="e">
        <f ca="1">_xll.DBRW($A$1,$C39,$B39,P$3,P$1,P$2,$A39)*$D39</f>
        <v>#VALUE!</v>
      </c>
      <c r="Q39" s="25" t="e">
        <f ca="1">_xll.DBRW($A$1,$C39,$B39,Q$3,Q$1,Q$2,$A39)*$D39</f>
        <v>#VALUE!</v>
      </c>
      <c r="R39" s="25" t="e">
        <f t="shared" ca="1" si="3"/>
        <v>#VALUE!</v>
      </c>
      <c r="S39" s="171" t="e">
        <f ca="1">_xll.DBRW($A$1,$C39,$B39,S$3,S$1,S$2,$A39)*$D39</f>
        <v>#VALUE!</v>
      </c>
      <c r="T39" s="25" t="e">
        <f ca="1">_xll.DBRW($A$1,$C39,$B39,T$3,T$1,T$2,$A39)*$D39</f>
        <v>#VALUE!</v>
      </c>
      <c r="U39" s="25" t="e">
        <f t="shared" ca="1" si="4"/>
        <v>#VALUE!</v>
      </c>
      <c r="V39" s="171" t="e">
        <f ca="1">_xll.DBRW($A$1,$C39,$B39,V$3,V$1,V$2,$A39)*$D39</f>
        <v>#VALUE!</v>
      </c>
      <c r="W39" s="25" t="e">
        <f ca="1">_xll.DBRW($A$1,$C39,$B39,W$3,W$1,W$2,$A39)*$D39</f>
        <v>#VALUE!</v>
      </c>
      <c r="X39" s="25" t="e">
        <f t="shared" ca="1" si="5"/>
        <v>#VALUE!</v>
      </c>
      <c r="Y39" s="171" t="e">
        <f ca="1">_xll.DBRW($A$1,$C39,$B39,Y$3,Y$1,Y$2,$A39)*$D39</f>
        <v>#VALUE!</v>
      </c>
      <c r="Z39" s="25" t="e">
        <f ca="1">_xll.DBRW($A$1,$C39,$B39,Z$3,Z$1,Z$2,$A39)*$D39</f>
        <v>#VALUE!</v>
      </c>
      <c r="AA39" s="25" t="e">
        <f t="shared" ca="1" si="6"/>
        <v>#VALUE!</v>
      </c>
      <c r="AB39" s="171" t="e">
        <f ca="1">_xll.DBRW($A$1,$C39,$B39,AB$3,AB$1,AB$2,$A39)*$D39</f>
        <v>#VALUE!</v>
      </c>
      <c r="AC39" s="25" t="e">
        <f ca="1">_xll.DBRW($A$1,$C39,$B39,AC$3,AC$1,AC$2,$A39)*$D39</f>
        <v>#VALUE!</v>
      </c>
      <c r="AD39" s="25" t="e">
        <f t="shared" ca="1" si="7"/>
        <v>#VALUE!</v>
      </c>
      <c r="AE39" s="171" t="e">
        <f ca="1">_xll.DBRW($A$1,$C39,$B39,AE$3,AE$1,AE$2,$A39)*$D39</f>
        <v>#VALUE!</v>
      </c>
      <c r="AF39" s="25" t="e">
        <f ca="1">_xll.DBRW($A$1,$C39,$B39,AF$3,AF$1,AF$2,$A39)*$D39</f>
        <v>#VALUE!</v>
      </c>
      <c r="AG39" s="25" t="e">
        <f t="shared" ca="1" si="8"/>
        <v>#VALUE!</v>
      </c>
      <c r="AH39" s="171" t="e">
        <f ca="1">_xll.DBRW($A$1,$C39,$B39,AH$3,AH$1,AH$2,$A39)*$D39</f>
        <v>#VALUE!</v>
      </c>
      <c r="AI39" s="25" t="e">
        <f ca="1">_xll.DBRW($A$1,$C39,$B39,AI$3,AI$1,AI$2,$A39)*$D39</f>
        <v>#VALUE!</v>
      </c>
      <c r="AJ39" s="25" t="e">
        <f t="shared" ca="1" si="9"/>
        <v>#VALUE!</v>
      </c>
      <c r="AK39" s="171" t="e">
        <f ca="1">_xll.DBRW($A$1,$C39,$B39,AK$3,AK$1,AK$2,$A39)*$D39</f>
        <v>#VALUE!</v>
      </c>
      <c r="AL39" s="25" t="e">
        <f ca="1">_xll.DBRW($A$1,$C39,$B39,AL$3,AL$1,AL$2,$A39)*$D39</f>
        <v>#VALUE!</v>
      </c>
      <c r="AM39" s="25" t="e">
        <f t="shared" ca="1" si="10"/>
        <v>#VALUE!</v>
      </c>
    </row>
    <row r="40" spans="1:39" ht="15" customHeight="1">
      <c r="A40" s="170" t="s">
        <v>328</v>
      </c>
      <c r="B40" s="169" t="s">
        <v>327</v>
      </c>
      <c r="C40" s="168" t="s">
        <v>133</v>
      </c>
      <c r="D40" s="168">
        <v>1</v>
      </c>
      <c r="E40" s="167" t="str">
        <f ca="1">_xll.DBRA("mfc:skz",B40,"Group")</f>
        <v>CAPEX</v>
      </c>
      <c r="F40" s="28" t="s">
        <v>140</v>
      </c>
      <c r="G40" s="171" t="e">
        <f ca="1">_xll.DBRW($A$1,$C40,$B40,G$3,G$1,G$2,$A40)*$D40</f>
        <v>#VALUE!</v>
      </c>
      <c r="H40" s="25" t="e">
        <f ca="1">_xll.DBRW($A$1,$C40,$B40,H$3,H$1,H$2,$A40)*$D40</f>
        <v>#VALUE!</v>
      </c>
      <c r="I40" s="25" t="e">
        <f t="shared" ca="1" si="0"/>
        <v>#VALUE!</v>
      </c>
      <c r="J40" s="171" t="e">
        <f ca="1">_xll.DBRW($A$1,$C40,$B40,J$3,J$1,J$2,$A40)*$D40</f>
        <v>#VALUE!</v>
      </c>
      <c r="K40" s="25" t="e">
        <f ca="1">_xll.DBRW($A$1,$C40,$B40,K$3,K$1,K$2,$A40)*$D40</f>
        <v>#VALUE!</v>
      </c>
      <c r="L40" s="25" t="e">
        <f t="shared" ca="1" si="1"/>
        <v>#VALUE!</v>
      </c>
      <c r="M40" s="171" t="e">
        <f ca="1">_xll.DBRW($A$1,$C40,$B40,M$3,M$1,M$2,$A40)*$D40</f>
        <v>#VALUE!</v>
      </c>
      <c r="N40" s="25" t="e">
        <f ca="1">_xll.DBRW($A$1,$C40,$B40,N$3,N$1,N$2,$A40)*$D40</f>
        <v>#VALUE!</v>
      </c>
      <c r="O40" s="25" t="e">
        <f t="shared" ca="1" si="2"/>
        <v>#VALUE!</v>
      </c>
      <c r="P40" s="171" t="e">
        <f ca="1">_xll.DBRW($A$1,$C40,$B40,P$3,P$1,P$2,$A40)*$D40</f>
        <v>#VALUE!</v>
      </c>
      <c r="Q40" s="25" t="e">
        <f ca="1">_xll.DBRW($A$1,$C40,$B40,Q$3,Q$1,Q$2,$A40)*$D40</f>
        <v>#VALUE!</v>
      </c>
      <c r="R40" s="25" t="e">
        <f t="shared" ca="1" si="3"/>
        <v>#VALUE!</v>
      </c>
      <c r="S40" s="171" t="e">
        <f ca="1">_xll.DBRW($A$1,$C40,$B40,S$3,S$1,S$2,$A40)*$D40</f>
        <v>#VALUE!</v>
      </c>
      <c r="T40" s="25" t="e">
        <f ca="1">_xll.DBRW($A$1,$C40,$B40,T$3,T$1,T$2,$A40)*$D40</f>
        <v>#VALUE!</v>
      </c>
      <c r="U40" s="25" t="e">
        <f t="shared" ca="1" si="4"/>
        <v>#VALUE!</v>
      </c>
      <c r="V40" s="171" t="e">
        <f ca="1">_xll.DBRW($A$1,$C40,$B40,V$3,V$1,V$2,$A40)*$D40</f>
        <v>#VALUE!</v>
      </c>
      <c r="W40" s="25" t="e">
        <f ca="1">_xll.DBRW($A$1,$C40,$B40,W$3,W$1,W$2,$A40)*$D40</f>
        <v>#VALUE!</v>
      </c>
      <c r="X40" s="25" t="e">
        <f t="shared" ca="1" si="5"/>
        <v>#VALUE!</v>
      </c>
      <c r="Y40" s="171" t="e">
        <f ca="1">_xll.DBRW($A$1,$C40,$B40,Y$3,Y$1,Y$2,$A40)*$D40</f>
        <v>#VALUE!</v>
      </c>
      <c r="Z40" s="25" t="e">
        <f ca="1">_xll.DBRW($A$1,$C40,$B40,Z$3,Z$1,Z$2,$A40)*$D40</f>
        <v>#VALUE!</v>
      </c>
      <c r="AA40" s="25" t="e">
        <f t="shared" ca="1" si="6"/>
        <v>#VALUE!</v>
      </c>
      <c r="AB40" s="171" t="e">
        <f ca="1">_xll.DBRW($A$1,$C40,$B40,AB$3,AB$1,AB$2,$A40)*$D40</f>
        <v>#VALUE!</v>
      </c>
      <c r="AC40" s="25" t="e">
        <f ca="1">_xll.DBRW($A$1,$C40,$B40,AC$3,AC$1,AC$2,$A40)*$D40</f>
        <v>#VALUE!</v>
      </c>
      <c r="AD40" s="25" t="e">
        <f t="shared" ca="1" si="7"/>
        <v>#VALUE!</v>
      </c>
      <c r="AE40" s="171" t="e">
        <f ca="1">_xll.DBRW($A$1,$C40,$B40,AE$3,AE$1,AE$2,$A40)*$D40</f>
        <v>#VALUE!</v>
      </c>
      <c r="AF40" s="25" t="e">
        <f ca="1">_xll.DBRW($A$1,$C40,$B40,AF$3,AF$1,AF$2,$A40)*$D40</f>
        <v>#VALUE!</v>
      </c>
      <c r="AG40" s="25" t="e">
        <f t="shared" ca="1" si="8"/>
        <v>#VALUE!</v>
      </c>
      <c r="AH40" s="171" t="e">
        <f ca="1">_xll.DBRW($A$1,$C40,$B40,AH$3,AH$1,AH$2,$A40)*$D40</f>
        <v>#VALUE!</v>
      </c>
      <c r="AI40" s="25" t="e">
        <f ca="1">_xll.DBRW($A$1,$C40,$B40,AI$3,AI$1,AI$2,$A40)*$D40</f>
        <v>#VALUE!</v>
      </c>
      <c r="AJ40" s="25" t="e">
        <f t="shared" ca="1" si="9"/>
        <v>#VALUE!</v>
      </c>
      <c r="AK40" s="171" t="e">
        <f ca="1">_xll.DBRW($A$1,$C40,$B40,AK$3,AK$1,AK$2,$A40)*$D40</f>
        <v>#VALUE!</v>
      </c>
      <c r="AL40" s="25" t="e">
        <f ca="1">_xll.DBRW($A$1,$C40,$B40,AL$3,AL$1,AL$2,$A40)*$D40</f>
        <v>#VALUE!</v>
      </c>
      <c r="AM40" s="25" t="e">
        <f t="shared" ca="1" si="10"/>
        <v>#VALUE!</v>
      </c>
    </row>
    <row r="41" spans="1:39" ht="15" customHeight="1">
      <c r="A41" s="170" t="s">
        <v>328</v>
      </c>
      <c r="B41" s="169" t="s">
        <v>143</v>
      </c>
      <c r="C41" s="168" t="s">
        <v>351</v>
      </c>
      <c r="D41" s="168">
        <v>100</v>
      </c>
      <c r="E41" s="167" t="str">
        <f ca="1">_xll.DBRA("mfc:skz",B41,"Group")</f>
        <v>RofA (rolling from Q2/2012 on)</v>
      </c>
      <c r="F41" s="210" t="s">
        <v>168</v>
      </c>
      <c r="G41" s="206" t="e">
        <f ca="1">_xll.DBRW($A$1,$C41,$B41,G$3,G$1,G$2,$A41)*$D41</f>
        <v>#VALUE!</v>
      </c>
      <c r="H41" s="205" t="e">
        <f ca="1">_xll.DBRW($A$1,$C41,$B41,H$3,H$1,H$2,$A41)*$D41</f>
        <v>#VALUE!</v>
      </c>
      <c r="I41" s="205" t="e">
        <f t="shared" ca="1" si="0"/>
        <v>#VALUE!</v>
      </c>
      <c r="J41" s="206"/>
      <c r="K41" s="205"/>
      <c r="L41" s="205"/>
      <c r="M41" s="206" t="e">
        <f ca="1">_xll.DBRW($A$1,$C41,$B41,M$3,M$1,M$2,$A41)*$D41</f>
        <v>#VALUE!</v>
      </c>
      <c r="N41" s="205" t="e">
        <f ca="1">_xll.DBRW($A$1,$C41,$B41,N$3,N$1,N$2,$A41)*$D41</f>
        <v>#VALUE!</v>
      </c>
      <c r="O41" s="205" t="e">
        <f t="shared" ca="1" si="2"/>
        <v>#VALUE!</v>
      </c>
      <c r="P41" s="206"/>
      <c r="Q41" s="205"/>
      <c r="R41" s="205"/>
      <c r="S41" s="206" t="e">
        <f ca="1">_xll.DBRW($A$1,$C41,$B41,S$3,S$1,S$2,$A41)*$D41</f>
        <v>#VALUE!</v>
      </c>
      <c r="T41" s="205" t="e">
        <f ca="1">_xll.DBRW($A$1,$C41,$B41,T$3,T$1,T$2,$A41)*$D41</f>
        <v>#VALUE!</v>
      </c>
      <c r="U41" s="205" t="e">
        <f t="shared" ca="1" si="4"/>
        <v>#VALUE!</v>
      </c>
      <c r="V41" s="206" t="e">
        <f ca="1">_xll.DBRW($A$1,$C41,$B41,V$3,V$1,V$2,$A41)*$D41</f>
        <v>#VALUE!</v>
      </c>
      <c r="W41" s="205" t="e">
        <f ca="1">_xll.DBRW($A$1,$C41,$B41,W$3,W$1,W$2,$A41)*$D41</f>
        <v>#VALUE!</v>
      </c>
      <c r="X41" s="205" t="e">
        <f t="shared" ca="1" si="5"/>
        <v>#VALUE!</v>
      </c>
      <c r="Y41" s="206"/>
      <c r="Z41" s="205"/>
      <c r="AA41" s="205"/>
      <c r="AB41" s="206" t="e">
        <f ca="1">_xll.DBRW($A$1,$C41,$B41,AB$3,AB$1,AB$2,$A41)*$D41</f>
        <v>#VALUE!</v>
      </c>
      <c r="AC41" s="205" t="e">
        <f ca="1">_xll.DBRW($A$1,$C41,$B41,AC$3,AC$1,AC$2,$A41)*$D41</f>
        <v>#VALUE!</v>
      </c>
      <c r="AD41" s="205" t="e">
        <f t="shared" ca="1" si="7"/>
        <v>#VALUE!</v>
      </c>
      <c r="AE41" s="206"/>
      <c r="AF41" s="205"/>
      <c r="AG41" s="205"/>
      <c r="AH41" s="206" t="e">
        <f ca="1">_xll.DBRW($A$1,$C41,$B41,AH$3,AH$1,AH$2,$A41)*$D41</f>
        <v>#VALUE!</v>
      </c>
      <c r="AI41" s="205" t="e">
        <f ca="1">_xll.DBRW($A$1,$C41,$B41,AI$3,AI$1,AI$2,$A41)*$D41</f>
        <v>#VALUE!</v>
      </c>
      <c r="AJ41" s="205" t="e">
        <f t="shared" ca="1" si="9"/>
        <v>#VALUE!</v>
      </c>
      <c r="AK41" s="206"/>
      <c r="AL41" s="205"/>
      <c r="AM41" s="205"/>
    </row>
    <row r="42" spans="1:39" ht="15" customHeight="1">
      <c r="A42" s="170" t="s">
        <v>319</v>
      </c>
      <c r="B42" s="169" t="s">
        <v>141</v>
      </c>
      <c r="C42" s="168" t="s">
        <v>351</v>
      </c>
      <c r="D42" s="168">
        <v>100</v>
      </c>
      <c r="E42" s="167" t="str">
        <f ca="1">_xll.DBRA("mfc:skz",B42,"Group")</f>
        <v>RoACE (rolling)</v>
      </c>
      <c r="F42" s="187" t="s">
        <v>169</v>
      </c>
      <c r="G42" s="171" t="e">
        <f ca="1">_xll.DBRW($A$1,$C42,$B42,G$3,G$1,G$2,$A42)*$D42</f>
        <v>#VALUE!</v>
      </c>
      <c r="H42" s="25" t="e">
        <f ca="1">_xll.DBRW($A$1,$C42,$B42,H$3,H$1,H$2,$A42)*$D42</f>
        <v>#VALUE!</v>
      </c>
      <c r="I42" s="25" t="e">
        <f ca="1">ROUND(G42-H42,10)</f>
        <v>#VALUE!</v>
      </c>
      <c r="J42" s="171"/>
      <c r="K42" s="25"/>
      <c r="L42" s="25"/>
      <c r="M42" s="171" t="e">
        <f ca="1">_xll.DBRW($A$1,$C42,$B42,M$3,M$1,M$2,$A42)*$D42</f>
        <v>#VALUE!</v>
      </c>
      <c r="N42" s="25" t="e">
        <f ca="1">_xll.DBRW($A$1,$C42,$B42,N$3,N$1,N$2,$A42)*$D42</f>
        <v>#VALUE!</v>
      </c>
      <c r="O42" s="25" t="e">
        <f t="shared" ca="1" si="2"/>
        <v>#VALUE!</v>
      </c>
      <c r="P42" s="171"/>
      <c r="Q42" s="25"/>
      <c r="R42" s="25"/>
      <c r="S42" s="171" t="e">
        <f ca="1">_xll.DBRW($A$1,$C42,$B42,S$3,S$1,S$2,$A42)*$D42</f>
        <v>#VALUE!</v>
      </c>
      <c r="T42" s="25" t="e">
        <f ca="1">_xll.DBRW($A$1,$C42,$B42,T$3,T$1,T$2,$A42)*$D42</f>
        <v>#VALUE!</v>
      </c>
      <c r="U42" s="25" t="e">
        <f t="shared" ca="1" si="4"/>
        <v>#VALUE!</v>
      </c>
      <c r="V42" s="171" t="e">
        <f ca="1">_xll.DBRW($A$1,$C42,$B42,V$3,V$1,V$2,$A42)*$D42</f>
        <v>#VALUE!</v>
      </c>
      <c r="W42" s="25" t="e">
        <f ca="1">_xll.DBRW($A$1,$C42,$B42,W$3,W$1,W$2,$A42)*$D42</f>
        <v>#VALUE!</v>
      </c>
      <c r="X42" s="25" t="e">
        <f t="shared" ca="1" si="5"/>
        <v>#VALUE!</v>
      </c>
      <c r="Y42" s="171"/>
      <c r="Z42" s="25"/>
      <c r="AA42" s="25"/>
      <c r="AB42" s="171" t="e">
        <f ca="1">_xll.DBRW($A$1,$C42,$B42,AB$3,AB$1,AB$2,$A42)*$D42</f>
        <v>#VALUE!</v>
      </c>
      <c r="AC42" s="25" t="e">
        <f ca="1">_xll.DBRW($A$1,$C42,$B42,AC$3,AC$1,AC$2,$A42)*$D42</f>
        <v>#VALUE!</v>
      </c>
      <c r="AD42" s="25" t="e">
        <f t="shared" ca="1" si="7"/>
        <v>#VALUE!</v>
      </c>
      <c r="AE42" s="171"/>
      <c r="AF42" s="25"/>
      <c r="AG42" s="25"/>
      <c r="AH42" s="171" t="e">
        <f ca="1">_xll.DBRW($A$1,$C42,$B42,AH$3,AH$1,AH$2,$A42)*$D42</f>
        <v>#VALUE!</v>
      </c>
      <c r="AI42" s="25" t="e">
        <f ca="1">_xll.DBRW($A$1,$C42,$B42,AI$3,AI$1,AI$2,$A42)*$D42</f>
        <v>#VALUE!</v>
      </c>
      <c r="AJ42" s="25" t="e">
        <f t="shared" ca="1" si="9"/>
        <v>#VALUE!</v>
      </c>
      <c r="AK42" s="171"/>
      <c r="AL42" s="25"/>
      <c r="AM42" s="25"/>
    </row>
    <row r="43" spans="1:39" ht="15" customHeight="1">
      <c r="A43" s="170" t="s">
        <v>319</v>
      </c>
      <c r="B43" s="169" t="s">
        <v>142</v>
      </c>
      <c r="C43" s="168" t="s">
        <v>351</v>
      </c>
      <c r="D43" s="168">
        <v>100</v>
      </c>
      <c r="E43" s="167" t="str">
        <f ca="1">_xll.DBRA("mfc:skz",B43,"Group")</f>
        <v>Clean RoACE (CCS) (rolling)</v>
      </c>
      <c r="F43" s="209" t="s">
        <v>302</v>
      </c>
      <c r="G43" s="171" t="e">
        <f ca="1">_xll.DBRW($A$1,$C43,$B43,G$3,G$1,G$2,$A43)*$D43</f>
        <v>#VALUE!</v>
      </c>
      <c r="H43" s="25" t="e">
        <f ca="1">_xll.DBRW($A$1,$C43,$B43,H$3,H$1,H$2,$A43)*$D43</f>
        <v>#VALUE!</v>
      </c>
      <c r="I43" s="25" t="e">
        <f ca="1">+G43-H43</f>
        <v>#VALUE!</v>
      </c>
      <c r="J43" s="171"/>
      <c r="K43" s="25"/>
      <c r="L43" s="25"/>
      <c r="M43" s="171" t="e">
        <f ca="1">_xll.DBRW($A$1,$C43,$B43,M$3,M$1,M$2,$A43)*$D43</f>
        <v>#VALUE!</v>
      </c>
      <c r="N43" s="25" t="e">
        <f ca="1">_xll.DBRW($A$1,$C43,$B43,N$3,N$1,N$2,$A43)*$D43</f>
        <v>#VALUE!</v>
      </c>
      <c r="O43" s="25" t="e">
        <f t="shared" ca="1" si="2"/>
        <v>#VALUE!</v>
      </c>
      <c r="P43" s="171"/>
      <c r="Q43" s="25"/>
      <c r="R43" s="25"/>
      <c r="S43" s="171" t="e">
        <f ca="1">_xll.DBRW($A$1,$C43,$B43,S$3,S$1,S$2,$A43)*$D43</f>
        <v>#VALUE!</v>
      </c>
      <c r="T43" s="25" t="e">
        <f ca="1">_xll.DBRW($A$1,$C43,$B43,T$3,T$1,T$2,$A43)*$D43</f>
        <v>#VALUE!</v>
      </c>
      <c r="U43" s="25" t="e">
        <f t="shared" ca="1" si="4"/>
        <v>#VALUE!</v>
      </c>
      <c r="V43" s="171" t="e">
        <f ca="1">_xll.DBRW($A$1,$C43,$B43,V$3,V$1,V$2,$A43)*$D43</f>
        <v>#VALUE!</v>
      </c>
      <c r="W43" s="25" t="e">
        <f ca="1">_xll.DBRW($A$1,$C43,$B43,W$3,W$1,W$2,$A43)*$D43</f>
        <v>#VALUE!</v>
      </c>
      <c r="X43" s="25" t="e">
        <f t="shared" ca="1" si="5"/>
        <v>#VALUE!</v>
      </c>
      <c r="Y43" s="171"/>
      <c r="Z43" s="25"/>
      <c r="AA43" s="25"/>
      <c r="AB43" s="171" t="e">
        <f ca="1">_xll.DBRW($A$1,$C43,$B43,AB$3,AB$1,AB$2,$A43)*$D43</f>
        <v>#VALUE!</v>
      </c>
      <c r="AC43" s="25" t="e">
        <f ca="1">_xll.DBRW($A$1,$C43,$B43,AC$3,AC$1,AC$2,$A43)*$D43</f>
        <v>#VALUE!</v>
      </c>
      <c r="AD43" s="25" t="e">
        <f t="shared" ca="1" si="7"/>
        <v>#VALUE!</v>
      </c>
      <c r="AE43" s="171"/>
      <c r="AF43" s="25"/>
      <c r="AG43" s="25"/>
      <c r="AH43" s="171" t="e">
        <f ca="1">_xll.DBRW($A$1,$C43,$B43,AH$3,AH$1,AH$2,$A43)*$D43</f>
        <v>#VALUE!</v>
      </c>
      <c r="AI43" s="25" t="e">
        <f ca="1">_xll.DBRW($A$1,$C43,$B43,AI$3,AI$1,AI$2,$A43)*$D43</f>
        <v>#VALUE!</v>
      </c>
      <c r="AJ43" s="25" t="e">
        <f t="shared" ca="1" si="9"/>
        <v>#VALUE!</v>
      </c>
      <c r="AK43" s="171"/>
      <c r="AL43" s="25"/>
      <c r="AM43" s="25"/>
    </row>
    <row r="44" spans="1:39" ht="15" customHeight="1">
      <c r="A44" s="170" t="s">
        <v>319</v>
      </c>
      <c r="B44" s="169" t="s">
        <v>144</v>
      </c>
      <c r="C44" s="168" t="s">
        <v>351</v>
      </c>
      <c r="D44" s="168">
        <v>100</v>
      </c>
      <c r="E44" s="167" t="str">
        <f ca="1">_xll.DBRA("mfc:skz",B44,"Group")</f>
        <v>ROE (rolling)</v>
      </c>
      <c r="F44" s="208" t="s">
        <v>301</v>
      </c>
      <c r="G44" s="171" t="e">
        <f ca="1">_xll.DBRW($A$1,$C44,$B44,G$3,G$1,G$2,$A44)*$D44</f>
        <v>#VALUE!</v>
      </c>
      <c r="H44" s="25" t="e">
        <f ca="1">_xll.DBRW($A$1,$C44,$B44,H$3,H$1,H$2,$A44)*$D44</f>
        <v>#VALUE!</v>
      </c>
      <c r="I44" s="25" t="e">
        <f ca="1">+G44-H44</f>
        <v>#VALUE!</v>
      </c>
      <c r="J44" s="171"/>
      <c r="K44" s="25"/>
      <c r="L44" s="25"/>
      <c r="M44" s="171" t="e">
        <f ca="1">_xll.DBRW($A$1,$C44,$B44,M$3,M$1,M$2,$A44)*$D44</f>
        <v>#VALUE!</v>
      </c>
      <c r="N44" s="25" t="e">
        <f ca="1">_xll.DBRW($A$1,$C44,$B44,N$3,N$1,N$2,$A44)*$D44</f>
        <v>#VALUE!</v>
      </c>
      <c r="O44" s="25" t="e">
        <f t="shared" ca="1" si="2"/>
        <v>#VALUE!</v>
      </c>
      <c r="P44" s="171"/>
      <c r="Q44" s="25"/>
      <c r="R44" s="25"/>
      <c r="S44" s="171" t="e">
        <f ca="1">_xll.DBRW($A$1,$C44,$B44,S$3,S$1,S$2,$A44)*$D44</f>
        <v>#VALUE!</v>
      </c>
      <c r="T44" s="25" t="e">
        <f ca="1">_xll.DBRW($A$1,$C44,$B44,T$3,T$1,T$2,$A44)*$D44</f>
        <v>#VALUE!</v>
      </c>
      <c r="U44" s="25" t="e">
        <f t="shared" ca="1" si="4"/>
        <v>#VALUE!</v>
      </c>
      <c r="V44" s="171" t="e">
        <f ca="1">_xll.DBRW($A$1,$C44,$B44,V$3,V$1,V$2,$A44)*$D44</f>
        <v>#VALUE!</v>
      </c>
      <c r="W44" s="25" t="e">
        <f ca="1">_xll.DBRW($A$1,$C44,$B44,W$3,W$1,W$2,$A44)*$D44</f>
        <v>#VALUE!</v>
      </c>
      <c r="X44" s="25" t="e">
        <f t="shared" ca="1" si="5"/>
        <v>#VALUE!</v>
      </c>
      <c r="Y44" s="171"/>
      <c r="Z44" s="25"/>
      <c r="AA44" s="25"/>
      <c r="AB44" s="171" t="e">
        <f ca="1">_xll.DBRW($A$1,$C44,$B44,AB$3,AB$1,AB$2,$A44)*$D44</f>
        <v>#VALUE!</v>
      </c>
      <c r="AC44" s="25" t="e">
        <f ca="1">_xll.DBRW($A$1,$C44,$B44,AC$3,AC$1,AC$2,$A44)*$D44</f>
        <v>#VALUE!</v>
      </c>
      <c r="AD44" s="25" t="e">
        <f t="shared" ca="1" si="7"/>
        <v>#VALUE!</v>
      </c>
      <c r="AE44" s="171"/>
      <c r="AF44" s="25"/>
      <c r="AG44" s="25"/>
      <c r="AH44" s="171" t="e">
        <f ca="1">_xll.DBRW($A$1,$C44,$B44,AH$3,AH$1,AH$2,$A44)*$D44</f>
        <v>#VALUE!</v>
      </c>
      <c r="AI44" s="25" t="e">
        <f ca="1">_xll.DBRW($A$1,$C44,$B44,AI$3,AI$1,AI$2,$A44)*$D44</f>
        <v>#VALUE!</v>
      </c>
      <c r="AJ44" s="25" t="e">
        <f t="shared" ca="1" si="9"/>
        <v>#VALUE!</v>
      </c>
      <c r="AK44" s="171"/>
      <c r="AL44" s="25"/>
      <c r="AM44" s="25"/>
    </row>
    <row r="45" spans="1:39" ht="15" customHeight="1">
      <c r="A45" s="170" t="s">
        <v>319</v>
      </c>
      <c r="B45" s="169" t="s">
        <v>352</v>
      </c>
      <c r="C45" s="168" t="s">
        <v>351</v>
      </c>
      <c r="D45" s="168">
        <v>100</v>
      </c>
      <c r="E45" s="167" t="str">
        <f ca="1">_xll.DBRA("mfc:skz",B45,"Group")</f>
        <v>Tax rate on POA</v>
      </c>
      <c r="F45" s="207" t="s">
        <v>123</v>
      </c>
      <c r="G45" s="206" t="e">
        <f ca="1">_xll.DBRW($A$1,$C45,$B45,G$3,G$1,G$2,$A45)*$D45</f>
        <v>#VALUE!</v>
      </c>
      <c r="H45" s="205" t="e">
        <f ca="1">_xll.DBRW($A$1,$C45,$B45,H$3,H$1,H$2,$A45)*$D45</f>
        <v>#VALUE!</v>
      </c>
      <c r="I45" s="205" t="e">
        <f ca="1">+G45-H45</f>
        <v>#VALUE!</v>
      </c>
      <c r="J45" s="206" t="e">
        <f ca="1">_xll.DBRW($A$1,$C45,$B45,J$3,J$1,J$2,$A45)*$D45</f>
        <v>#VALUE!</v>
      </c>
      <c r="K45" s="205" t="e">
        <f ca="1">_xll.DBRW($A$1,$C45,$B45,K$3,K$1,K$2,$A45)*$D45</f>
        <v>#VALUE!</v>
      </c>
      <c r="L45" s="205" t="e">
        <f ca="1">+J45-K45</f>
        <v>#VALUE!</v>
      </c>
      <c r="M45" s="206" t="e">
        <f ca="1">_xll.DBRW($A$1,$C45,$B45,M$3,M$1,M$2,$A45)*$D45</f>
        <v>#VALUE!</v>
      </c>
      <c r="N45" s="205" t="e">
        <f ca="1">_xll.DBRW($A$1,$C45,$B45,N$3,N$1,N$2,$A45)*$D45</f>
        <v>#VALUE!</v>
      </c>
      <c r="O45" s="205" t="e">
        <f t="shared" ca="1" si="2"/>
        <v>#VALUE!</v>
      </c>
      <c r="P45" s="206" t="e">
        <f ca="1">_xll.DBRW($A$1,$C45,$B45,P$3,P$1,P$2,$A45)*$D45</f>
        <v>#VALUE!</v>
      </c>
      <c r="Q45" s="205" t="e">
        <f ca="1">_xll.DBRW($A$1,$C45,$B45,Q$3,Q$1,Q$2,$A45)*$D45</f>
        <v>#VALUE!</v>
      </c>
      <c r="R45" s="205" t="e">
        <f ca="1">+P45-Q45</f>
        <v>#VALUE!</v>
      </c>
      <c r="S45" s="206" t="e">
        <f ca="1">_xll.DBRW($A$1,$C45,$B45,S$3,S$1,S$2,$A45)*$D45</f>
        <v>#VALUE!</v>
      </c>
      <c r="T45" s="205" t="e">
        <f ca="1">_xll.DBRW($A$1,$C45,$B45,T$3,T$1,T$2,$A45)*$D45</f>
        <v>#VALUE!</v>
      </c>
      <c r="U45" s="205" t="e">
        <f t="shared" ca="1" si="4"/>
        <v>#VALUE!</v>
      </c>
      <c r="V45" s="206" t="e">
        <f ca="1">_xll.DBRW($A$1,$C45,$B45,V$3,V$1,V$2,$A45)*$D45</f>
        <v>#VALUE!</v>
      </c>
      <c r="W45" s="205" t="e">
        <f ca="1">_xll.DBRW($A$1,$C45,$B45,W$3,W$1,W$2,$A45)*$D45</f>
        <v>#VALUE!</v>
      </c>
      <c r="X45" s="205" t="e">
        <f t="shared" ca="1" si="5"/>
        <v>#VALUE!</v>
      </c>
      <c r="Y45" s="206" t="e">
        <f ca="1">_xll.DBRW($A$1,$C45,$B45,Y$3,Y$1,Y$2,$A45)*$D45</f>
        <v>#VALUE!</v>
      </c>
      <c r="Z45" s="205" t="e">
        <f ca="1">_xll.DBRW($A$1,$C45,$B45,Z$3,Z$1,Z$2,$A45)*$D45</f>
        <v>#VALUE!</v>
      </c>
      <c r="AA45" s="205" t="e">
        <f ca="1">+Y45-Z45</f>
        <v>#VALUE!</v>
      </c>
      <c r="AB45" s="206" t="e">
        <f ca="1">_xll.DBRW($A$1,$C45,$B45,AB$3,AB$1,AB$2,$A45)*$D45</f>
        <v>#VALUE!</v>
      </c>
      <c r="AC45" s="205" t="e">
        <f ca="1">_xll.DBRW($A$1,$C45,$B45,AC$3,AC$1,AC$2,$A45)*$D45</f>
        <v>#VALUE!</v>
      </c>
      <c r="AD45" s="205" t="e">
        <f t="shared" ca="1" si="7"/>
        <v>#VALUE!</v>
      </c>
      <c r="AE45" s="206" t="e">
        <f ca="1">_xll.DBRW($A$1,$C45,$B45,AE$3,AE$1,AE$2,$A45)*$D45</f>
        <v>#VALUE!</v>
      </c>
      <c r="AF45" s="205" t="e">
        <f ca="1">_xll.DBRW($A$1,$C45,$B45,AF$3,AF$1,AF$2,$A45)*$D45</f>
        <v>#VALUE!</v>
      </c>
      <c r="AG45" s="205" t="e">
        <f ca="1">+AE45-AF45</f>
        <v>#VALUE!</v>
      </c>
      <c r="AH45" s="206" t="e">
        <f ca="1">_xll.DBRW($A$1,$C45,$B45,AH$3,AH$1,AH$2,$A45)*$D45</f>
        <v>#VALUE!</v>
      </c>
      <c r="AI45" s="205" t="e">
        <f ca="1">_xll.DBRW($A$1,$C45,$B45,AI$3,AI$1,AI$2,$A45)*$D45</f>
        <v>#VALUE!</v>
      </c>
      <c r="AJ45" s="205" t="e">
        <f t="shared" ca="1" si="9"/>
        <v>#VALUE!</v>
      </c>
      <c r="AK45" s="206" t="e">
        <f ca="1">_xll.DBRW($A$1,$C45,$B45,AK$3,AK$1,AK$2,$A45)*$D45</f>
        <v>#VALUE!</v>
      </c>
      <c r="AL45" s="205" t="e">
        <f ca="1">_xll.DBRW($A$1,$C45,$B45,AL$3,AL$1,AL$2,$A45)*$D45</f>
        <v>#VALUE!</v>
      </c>
      <c r="AM45" s="205" t="e">
        <f ca="1">+AK45-AL45</f>
        <v>#VALUE!</v>
      </c>
    </row>
    <row r="46" spans="1:39" ht="15" customHeight="1">
      <c r="A46" s="170" t="s">
        <v>328</v>
      </c>
      <c r="B46" s="169" t="s">
        <v>350</v>
      </c>
      <c r="C46" s="168" t="s">
        <v>132</v>
      </c>
      <c r="D46" s="168">
        <v>1</v>
      </c>
      <c r="E46" s="167" t="str">
        <f ca="1">_xll.DBRA("mfc:skz",B46,"Group")</f>
        <v>Total Personnel</v>
      </c>
      <c r="F46" s="102" t="s">
        <v>115</v>
      </c>
      <c r="G46" s="204" t="e">
        <f ca="1">_xll.DBRW($A$1,$C46,$B46,G$3,G$1,G$2,$A46)*$D46</f>
        <v>#VALUE!</v>
      </c>
      <c r="H46" s="101" t="e">
        <f ca="1">_xll.DBRW($A$1,$C46,$B46,H$3,H$1,H$2,$A46)*$D46</f>
        <v>#VALUE!</v>
      </c>
      <c r="I46" s="101" t="e">
        <f ca="1">+G46-H46</f>
        <v>#VALUE!</v>
      </c>
      <c r="J46" s="204" t="e">
        <f ca="1">_xll.DBRW($A$1,$C46,$B46,J$3,J$1,J$2,$A46)*$D46</f>
        <v>#VALUE!</v>
      </c>
      <c r="K46" s="101" t="e">
        <f ca="1">_xll.DBRW($A$1,$C46,$B46,K$3,K$1,K$2,$A46)*$D46</f>
        <v>#VALUE!</v>
      </c>
      <c r="L46" s="101" t="e">
        <f ca="1">+J46-K46</f>
        <v>#VALUE!</v>
      </c>
      <c r="M46" s="204" t="e">
        <f ca="1">_xll.DBRW($A$1,$C46,$B46,M$3,M$1,M$2,$A46)*$D46</f>
        <v>#VALUE!</v>
      </c>
      <c r="N46" s="101" t="e">
        <f ca="1">_xll.DBRW($A$1,$C46,$B46,N$3,N$1,N$2,$A46)*$D46</f>
        <v>#VALUE!</v>
      </c>
      <c r="O46" s="101" t="e">
        <f t="shared" ca="1" si="2"/>
        <v>#VALUE!</v>
      </c>
      <c r="P46" s="204" t="e">
        <f ca="1">_xll.DBRW($A$1,$C46,$B46,P$3,P$1,P$2,$A46)*$D46</f>
        <v>#VALUE!</v>
      </c>
      <c r="Q46" s="101" t="e">
        <f ca="1">_xll.DBRW($A$1,$C46,$B46,Q$3,Q$1,Q$2,$A46)*$D46</f>
        <v>#VALUE!</v>
      </c>
      <c r="R46" s="101" t="e">
        <f ca="1">+P46-Q46</f>
        <v>#VALUE!</v>
      </c>
      <c r="S46" s="204" t="e">
        <f ca="1">_xll.DBRW($A$1,$C46,$B46,S$3,S$1,S$2,$A46)*$D46</f>
        <v>#VALUE!</v>
      </c>
      <c r="T46" s="101" t="e">
        <f ca="1">_xll.DBRW($A$1,$C46,$B46,T$3,T$1,T$2,$A46)*$D46</f>
        <v>#VALUE!</v>
      </c>
      <c r="U46" s="101" t="e">
        <f t="shared" ca="1" si="4"/>
        <v>#VALUE!</v>
      </c>
      <c r="V46" s="204" t="e">
        <f ca="1">_xll.DBRW($A$1,$C46,$B46,V$3,V$1,V$2,$A46)*$D46</f>
        <v>#VALUE!</v>
      </c>
      <c r="W46" s="101" t="e">
        <f ca="1">_xll.DBRW($A$1,$C46,$B46,W$3,W$1,W$2,$A46)*$D46</f>
        <v>#VALUE!</v>
      </c>
      <c r="X46" s="101" t="e">
        <f t="shared" ca="1" si="5"/>
        <v>#VALUE!</v>
      </c>
      <c r="Y46" s="204" t="e">
        <f ca="1">_xll.DBRW($A$1,$C46,$B46,Y$3,Y$1,Y$2,$A46)*$D46</f>
        <v>#VALUE!</v>
      </c>
      <c r="Z46" s="101" t="e">
        <f ca="1">_xll.DBRW($A$1,$C46,$B46,Z$3,Z$1,Z$2,$A46)*$D46</f>
        <v>#VALUE!</v>
      </c>
      <c r="AA46" s="101" t="e">
        <f ca="1">+Y46-Z46</f>
        <v>#VALUE!</v>
      </c>
      <c r="AB46" s="204" t="e">
        <f ca="1">_xll.DBRW($A$1,$C46,$B46,AB$3,AB$1,AB$2,$A46)*$D46</f>
        <v>#VALUE!</v>
      </c>
      <c r="AC46" s="101" t="e">
        <f ca="1">_xll.DBRW($A$1,$C46,$B46,AC$3,AC$1,AC$2,$A46)*$D46</f>
        <v>#VALUE!</v>
      </c>
      <c r="AD46" s="101" t="e">
        <f t="shared" ca="1" si="7"/>
        <v>#VALUE!</v>
      </c>
      <c r="AE46" s="204" t="e">
        <f ca="1">_xll.DBRW($A$1,$C46,$B46,AE$3,AE$1,AE$2,$A46)*$D46</f>
        <v>#VALUE!</v>
      </c>
      <c r="AF46" s="101" t="e">
        <f ca="1">_xll.DBRW($A$1,$C46,$B46,AF$3,AF$1,AF$2,$A46)*$D46</f>
        <v>#VALUE!</v>
      </c>
      <c r="AG46" s="101" t="e">
        <f ca="1">+AE46-AF46</f>
        <v>#VALUE!</v>
      </c>
      <c r="AH46" s="204" t="e">
        <f ca="1">_xll.DBRW($A$1,$C46,$B46,AH$3,AH$1,AH$2,$A46)*$D46</f>
        <v>#VALUE!</v>
      </c>
      <c r="AI46" s="101" t="e">
        <f ca="1">_xll.DBRW($A$1,$C46,$B46,AI$3,AI$1,AI$2,$A46)*$D46</f>
        <v>#VALUE!</v>
      </c>
      <c r="AJ46" s="101" t="e">
        <f t="shared" ca="1" si="9"/>
        <v>#VALUE!</v>
      </c>
      <c r="AK46" s="204" t="e">
        <f ca="1">_xll.DBRW($A$1,$C46,$B46,AK$3,AK$1,AK$2,$A46)*$D46</f>
        <v>#VALUE!</v>
      </c>
      <c r="AL46" s="101" t="e">
        <f ca="1">_xll.DBRW($A$1,$C46,$B46,AL$3,AL$1,AL$2,$A46)*$D46</f>
        <v>#VALUE!</v>
      </c>
      <c r="AM46" s="101" t="e">
        <f ca="1">+AK46-AL46</f>
        <v>#VALUE!</v>
      </c>
    </row>
    <row r="47" spans="1:39" ht="15" customHeight="1">
      <c r="A47" s="170"/>
      <c r="B47" s="169"/>
      <c r="C47" s="168"/>
      <c r="D47" s="168"/>
      <c r="E47" s="167"/>
    </row>
    <row r="48" spans="1:39" ht="15" customHeight="1">
      <c r="A48" s="170"/>
      <c r="B48" s="169"/>
      <c r="C48" s="168"/>
      <c r="D48" s="168"/>
      <c r="E48" s="167"/>
      <c r="F48" s="203" t="s">
        <v>300</v>
      </c>
    </row>
    <row r="49" spans="1:39" ht="15" customHeight="1">
      <c r="A49" s="170"/>
      <c r="B49" s="169"/>
      <c r="C49" s="168"/>
      <c r="D49" s="168"/>
      <c r="E49" s="167"/>
      <c r="F49" s="203" t="s">
        <v>299</v>
      </c>
    </row>
    <row r="50" spans="1:39" ht="15" customHeight="1">
      <c r="A50" s="170"/>
      <c r="B50" s="169"/>
      <c r="C50" s="168"/>
      <c r="D50" s="168"/>
      <c r="E50" s="167"/>
      <c r="F50" s="203" t="s">
        <v>298</v>
      </c>
    </row>
    <row r="51" spans="1:39" ht="15" customHeight="1">
      <c r="A51" s="170"/>
      <c r="B51" s="169"/>
      <c r="C51" s="168"/>
      <c r="D51" s="168"/>
      <c r="E51" s="167"/>
      <c r="F51" s="203" t="s">
        <v>297</v>
      </c>
    </row>
    <row r="52" spans="1:39" ht="15" customHeight="1">
      <c r="A52" s="170"/>
      <c r="B52" s="169"/>
      <c r="C52" s="168"/>
      <c r="D52" s="168"/>
      <c r="E52" s="167"/>
      <c r="F52" s="203" t="s">
        <v>296</v>
      </c>
    </row>
    <row r="53" spans="1:39" ht="15" customHeight="1">
      <c r="A53" s="170"/>
      <c r="B53" s="169"/>
      <c r="C53" s="168"/>
      <c r="D53" s="168"/>
      <c r="E53" s="167"/>
    </row>
    <row r="54" spans="1:39" ht="15" customHeight="1">
      <c r="A54" s="170"/>
      <c r="B54" s="169"/>
      <c r="C54" s="168"/>
      <c r="D54" s="168"/>
      <c r="E54" s="167"/>
    </row>
    <row r="55" spans="1:39" ht="15" customHeight="1">
      <c r="A55" s="170"/>
      <c r="B55" s="169"/>
      <c r="C55" s="168"/>
      <c r="D55" s="168"/>
      <c r="E55" s="167"/>
      <c r="F55" s="40" t="s">
        <v>188</v>
      </c>
    </row>
    <row r="56" spans="1:39" ht="30" customHeight="1">
      <c r="A56" s="170"/>
      <c r="B56" s="169"/>
      <c r="C56" s="168"/>
      <c r="D56" s="168"/>
      <c r="E56" s="167"/>
    </row>
    <row r="57" spans="1:39" ht="15" customHeight="1" thickBot="1">
      <c r="A57" s="170"/>
      <c r="B57" s="169"/>
      <c r="C57" s="168"/>
      <c r="D57" s="168"/>
      <c r="E57" s="167"/>
      <c r="F57" s="87" t="s">
        <v>287</v>
      </c>
      <c r="G57" s="172"/>
      <c r="H57" s="9"/>
      <c r="I57" s="9"/>
      <c r="J57" s="172"/>
      <c r="K57" s="9"/>
      <c r="L57" s="9"/>
      <c r="M57" s="172"/>
      <c r="N57" s="9"/>
      <c r="O57" s="9"/>
      <c r="P57" s="172"/>
      <c r="Q57" s="9"/>
      <c r="R57" s="9"/>
      <c r="S57" s="172"/>
      <c r="T57" s="9"/>
      <c r="U57" s="9"/>
      <c r="V57" s="172"/>
      <c r="W57" s="9"/>
      <c r="X57" s="9"/>
      <c r="Y57" s="172"/>
      <c r="Z57" s="9"/>
      <c r="AA57" s="9"/>
      <c r="AB57" s="172"/>
      <c r="AC57" s="9"/>
      <c r="AD57" s="9"/>
      <c r="AE57" s="172"/>
      <c r="AF57" s="9"/>
      <c r="AG57" s="9"/>
      <c r="AH57" s="172"/>
      <c r="AI57" s="9"/>
      <c r="AJ57" s="9"/>
      <c r="AK57" s="172"/>
      <c r="AL57" s="9"/>
      <c r="AM57" s="9"/>
    </row>
    <row r="58" spans="1:39" ht="15" customHeight="1" thickTop="1">
      <c r="A58" s="170" t="s">
        <v>331</v>
      </c>
      <c r="B58" s="169" t="s">
        <v>336</v>
      </c>
      <c r="C58" s="168" t="s">
        <v>133</v>
      </c>
      <c r="D58" s="168">
        <v>1</v>
      </c>
      <c r="E58" s="167" t="str">
        <f ca="1">_xll.DBRA("mfc:skz",B58,"Group")</f>
        <v>Segment sales w/o petroleum tax</v>
      </c>
      <c r="F58" s="92" t="s">
        <v>10</v>
      </c>
      <c r="G58" s="171" t="e">
        <f ca="1">_xll.DBRW($A$1,$C58,$B58,G$3,G$1,G$2,$A58)*$D58</f>
        <v>#VALUE!</v>
      </c>
      <c r="H58" s="14" t="e">
        <f ca="1">_xll.DBRW($A$1,$C58,$B58,H$3,H$1,H$2,$A58)*$D58</f>
        <v>#VALUE!</v>
      </c>
      <c r="I58" s="14" t="e">
        <f t="shared" ref="I58:I67" ca="1" si="11">+G58-H58</f>
        <v>#VALUE!</v>
      </c>
      <c r="J58" s="171" t="e">
        <f ca="1">_xll.DBRW($A$1,$C58,$B58,J$3,J$1,J$2,$A58)*$D58</f>
        <v>#VALUE!</v>
      </c>
      <c r="K58" s="14" t="e">
        <f ca="1">_xll.DBRW($A$1,$C58,$B58,K$3,K$1,K$2,$A58)*$D58</f>
        <v>#VALUE!</v>
      </c>
      <c r="L58" s="14" t="e">
        <f t="shared" ref="L58:L67" ca="1" si="12">+J58-K58</f>
        <v>#VALUE!</v>
      </c>
      <c r="M58" s="171" t="e">
        <f ca="1">_xll.DBRW($A$1,$C58,$B58,M$3,M$1,M$2,$A58)*$D58</f>
        <v>#VALUE!</v>
      </c>
      <c r="N58" s="14" t="e">
        <f ca="1">_xll.DBRW($A$1,$C58,$B58,N$3,N$1,N$2,$A58)*$D58</f>
        <v>#VALUE!</v>
      </c>
      <c r="O58" s="14" t="e">
        <f t="shared" ref="O58:O67" ca="1" si="13">+M58-N58</f>
        <v>#VALUE!</v>
      </c>
      <c r="P58" s="171" t="e">
        <f ca="1">_xll.DBRW($A$1,$C58,$B58,P$3,P$1,P$2,$A58)*$D58</f>
        <v>#VALUE!</v>
      </c>
      <c r="Q58" s="14" t="e">
        <f ca="1">_xll.DBRW($A$1,$C58,$B58,Q$3,Q$1,Q$2,$A58)*$D58</f>
        <v>#VALUE!</v>
      </c>
      <c r="R58" s="14" t="e">
        <f t="shared" ref="R58:R67" ca="1" si="14">+P58-Q58</f>
        <v>#VALUE!</v>
      </c>
      <c r="S58" s="171" t="e">
        <f ca="1">_xll.DBRW($A$1,$C58,$B58,S$3,S$1,S$2,$A58)*$D58</f>
        <v>#VALUE!</v>
      </c>
      <c r="T58" s="14" t="e">
        <f ca="1">_xll.DBRW($A$1,$C58,$B58,T$3,T$1,T$2,$A58)*$D58</f>
        <v>#VALUE!</v>
      </c>
      <c r="U58" s="14" t="e">
        <f t="shared" ref="U58:U67" ca="1" si="15">+S58-T58</f>
        <v>#VALUE!</v>
      </c>
      <c r="V58" s="171" t="e">
        <f ca="1">_xll.DBRW($A$1,$C58,$B58,V$3,V$1,V$2,$A58)*$D58</f>
        <v>#VALUE!</v>
      </c>
      <c r="W58" s="14" t="e">
        <f ca="1">_xll.DBRW($A$1,$C58,$B58,W$3,W$1,W$2,$A58)*$D58</f>
        <v>#VALUE!</v>
      </c>
      <c r="X58" s="14" t="e">
        <f t="shared" ref="X58:X67" ca="1" si="16">+V58-W58</f>
        <v>#VALUE!</v>
      </c>
      <c r="Y58" s="171" t="e">
        <f ca="1">_xll.DBRW($A$1,$C58,$B58,Y$3,Y$1,Y$2,$A58)*$D58</f>
        <v>#VALUE!</v>
      </c>
      <c r="Z58" s="14" t="e">
        <f ca="1">_xll.DBRW($A$1,$C58,$B58,Z$3,Z$1,Z$2,$A58)*$D58</f>
        <v>#VALUE!</v>
      </c>
      <c r="AA58" s="14" t="e">
        <f t="shared" ref="AA58:AA67" ca="1" si="17">+Y58-Z58</f>
        <v>#VALUE!</v>
      </c>
      <c r="AB58" s="171" t="e">
        <f ca="1">_xll.DBRW($A$1,$C58,$B58,AB$3,AB$1,AB$2,$A58)*$D58</f>
        <v>#VALUE!</v>
      </c>
      <c r="AC58" s="14" t="e">
        <f ca="1">_xll.DBRW($A$1,$C58,$B58,AC$3,AC$1,AC$2,$A58)*$D58</f>
        <v>#VALUE!</v>
      </c>
      <c r="AD58" s="14" t="e">
        <f t="shared" ref="AD58:AD67" ca="1" si="18">+AB58-AC58</f>
        <v>#VALUE!</v>
      </c>
      <c r="AE58" s="171" t="e">
        <f ca="1">_xll.DBRW($A$1,$C58,$B58,AE$3,AE$1,AE$2,$A58)*$D58</f>
        <v>#VALUE!</v>
      </c>
      <c r="AF58" s="14" t="e">
        <f ca="1">_xll.DBRW($A$1,$C58,$B58,AF$3,AF$1,AF$2,$A58)*$D58</f>
        <v>#VALUE!</v>
      </c>
      <c r="AG58" s="14" t="e">
        <f t="shared" ref="AG58:AG67" ca="1" si="19">+AE58-AF58</f>
        <v>#VALUE!</v>
      </c>
      <c r="AH58" s="171" t="e">
        <f ca="1">_xll.DBRW($A$1,$C58,$B58,AH$3,AH$1,AH$2,$A58)*$D58</f>
        <v>#VALUE!</v>
      </c>
      <c r="AI58" s="14" t="e">
        <f ca="1">_xll.DBRW($A$1,$C58,$B58,AI$3,AI$1,AI$2,$A58)*$D58</f>
        <v>#VALUE!</v>
      </c>
      <c r="AJ58" s="14" t="e">
        <f t="shared" ref="AJ58:AJ67" ca="1" si="20">+AH58-AI58</f>
        <v>#VALUE!</v>
      </c>
      <c r="AK58" s="171" t="e">
        <f ca="1">_xll.DBRW($A$1,$C58,$B58,AK$3,AK$1,AK$2,$A58)*$D58</f>
        <v>#VALUE!</v>
      </c>
      <c r="AL58" s="14" t="e">
        <f ca="1">_xll.DBRW($A$1,$C58,$B58,AL$3,AL$1,AL$2,$A58)*$D58</f>
        <v>#VALUE!</v>
      </c>
      <c r="AM58" s="14" t="e">
        <f t="shared" ref="AM58:AM67" ca="1" si="21">+AK58-AL58</f>
        <v>#VALUE!</v>
      </c>
    </row>
    <row r="59" spans="1:39" ht="15" customHeight="1">
      <c r="A59" s="170" t="s">
        <v>324</v>
      </c>
      <c r="B59" s="169" t="s">
        <v>334</v>
      </c>
      <c r="C59" s="168" t="s">
        <v>133</v>
      </c>
      <c r="D59" s="168">
        <v>1</v>
      </c>
      <c r="E59" s="167" t="str">
        <f ca="1">_xll.DBRA("mfc:skz",B59,"Group")</f>
        <v>EBIT</v>
      </c>
      <c r="F59" s="187" t="s">
        <v>0</v>
      </c>
      <c r="G59" s="171" t="e">
        <f ca="1">_xll.DBRW($A$1,$C59,$B59,G$3,G$1,G$2,$A59)*$D59</f>
        <v>#VALUE!</v>
      </c>
      <c r="H59" s="14" t="e">
        <f ca="1">_xll.DBRW($A$1,$C59,$B59,H$3,H$1,H$2,$A59)*$D59</f>
        <v>#VALUE!</v>
      </c>
      <c r="I59" s="14" t="e">
        <f t="shared" ca="1" si="11"/>
        <v>#VALUE!</v>
      </c>
      <c r="J59" s="171" t="e">
        <f ca="1">_xll.DBRW($A$1,$C59,$B59,J$3,J$1,J$2,$A59)*$D59</f>
        <v>#VALUE!</v>
      </c>
      <c r="K59" s="14" t="e">
        <f ca="1">_xll.DBRW($A$1,$C59,$B59,K$3,K$1,K$2,$A59)*$D59</f>
        <v>#VALUE!</v>
      </c>
      <c r="L59" s="14" t="e">
        <f t="shared" ca="1" si="12"/>
        <v>#VALUE!</v>
      </c>
      <c r="M59" s="171" t="e">
        <f ca="1">_xll.DBRW($A$1,$C59,$B59,M$3,M$1,M$2,$A59)*$D59</f>
        <v>#VALUE!</v>
      </c>
      <c r="N59" s="14" t="e">
        <f ca="1">_xll.DBRW($A$1,$C59,$B59,N$3,N$1,N$2,$A59)*$D59</f>
        <v>#VALUE!</v>
      </c>
      <c r="O59" s="14" t="e">
        <f t="shared" ca="1" si="13"/>
        <v>#VALUE!</v>
      </c>
      <c r="P59" s="171" t="e">
        <f ca="1">_xll.DBRW($A$1,$C59,$B59,P$3,P$1,P$2,$A59)*$D59</f>
        <v>#VALUE!</v>
      </c>
      <c r="Q59" s="14" t="e">
        <f ca="1">_xll.DBRW($A$1,$C59,$B59,Q$3,Q$1,Q$2,$A59)*$D59</f>
        <v>#VALUE!</v>
      </c>
      <c r="R59" s="14" t="e">
        <f t="shared" ca="1" si="14"/>
        <v>#VALUE!</v>
      </c>
      <c r="S59" s="171" t="e">
        <f ca="1">_xll.DBRW($A$1,$C59,$B59,S$3,S$1,S$2,$A59)*$D59</f>
        <v>#VALUE!</v>
      </c>
      <c r="T59" s="14" t="e">
        <f ca="1">_xll.DBRW($A$1,$C59,$B59,T$3,T$1,T$2,$A59)*$D59</f>
        <v>#VALUE!</v>
      </c>
      <c r="U59" s="14" t="e">
        <f t="shared" ca="1" si="15"/>
        <v>#VALUE!</v>
      </c>
      <c r="V59" s="171" t="e">
        <f ca="1">_xll.DBRW($A$1,$C59,$B59,V$3,V$1,V$2,$A59)*$D59</f>
        <v>#VALUE!</v>
      </c>
      <c r="W59" s="14" t="e">
        <f ca="1">_xll.DBRW($A$1,$C59,$B59,W$3,W$1,W$2,$A59)*$D59</f>
        <v>#VALUE!</v>
      </c>
      <c r="X59" s="14" t="e">
        <f t="shared" ca="1" si="16"/>
        <v>#VALUE!</v>
      </c>
      <c r="Y59" s="171" t="e">
        <f ca="1">_xll.DBRW($A$1,$C59,$B59,Y$3,Y$1,Y$2,$A59)*$D59</f>
        <v>#VALUE!</v>
      </c>
      <c r="Z59" s="14" t="e">
        <f ca="1">_xll.DBRW($A$1,$C59,$B59,Z$3,Z$1,Z$2,$A59)*$D59</f>
        <v>#VALUE!</v>
      </c>
      <c r="AA59" s="14" t="e">
        <f t="shared" ca="1" si="17"/>
        <v>#VALUE!</v>
      </c>
      <c r="AB59" s="171" t="e">
        <f ca="1">_xll.DBRW($A$1,$C59,$B59,AB$3,AB$1,AB$2,$A59)*$D59</f>
        <v>#VALUE!</v>
      </c>
      <c r="AC59" s="14" t="e">
        <f ca="1">_xll.DBRW($A$1,$C59,$B59,AC$3,AC$1,AC$2,$A59)*$D59</f>
        <v>#VALUE!</v>
      </c>
      <c r="AD59" s="14" t="e">
        <f t="shared" ca="1" si="18"/>
        <v>#VALUE!</v>
      </c>
      <c r="AE59" s="171" t="e">
        <f ca="1">_xll.DBRW($A$1,$C59,$B59,AE$3,AE$1,AE$2,$A59)*$D59</f>
        <v>#VALUE!</v>
      </c>
      <c r="AF59" s="14" t="e">
        <f ca="1">_xll.DBRW($A$1,$C59,$B59,AF$3,AF$1,AF$2,$A59)*$D59</f>
        <v>#VALUE!</v>
      </c>
      <c r="AG59" s="14" t="e">
        <f t="shared" ca="1" si="19"/>
        <v>#VALUE!</v>
      </c>
      <c r="AH59" s="171" t="e">
        <f ca="1">_xll.DBRW($A$1,$C59,$B59,AH$3,AH$1,AH$2,$A59)*$D59</f>
        <v>#VALUE!</v>
      </c>
      <c r="AI59" s="14" t="e">
        <f ca="1">_xll.DBRW($A$1,$C59,$B59,AI$3,AI$1,AI$2,$A59)*$D59</f>
        <v>#VALUE!</v>
      </c>
      <c r="AJ59" s="14" t="e">
        <f t="shared" ca="1" si="20"/>
        <v>#VALUE!</v>
      </c>
      <c r="AK59" s="171" t="e">
        <f ca="1">_xll.DBRW($A$1,$C59,$B59,AK$3,AK$1,AK$2,$A59)*$D59</f>
        <v>#VALUE!</v>
      </c>
      <c r="AL59" s="14" t="e">
        <f ca="1">_xll.DBRW($A$1,$C59,$B59,AL$3,AL$1,AL$2,$A59)*$D59</f>
        <v>#VALUE!</v>
      </c>
      <c r="AM59" s="14" t="e">
        <f t="shared" ca="1" si="21"/>
        <v>#VALUE!</v>
      </c>
    </row>
    <row r="60" spans="1:39" ht="15" customHeight="1">
      <c r="A60" s="170" t="s">
        <v>324</v>
      </c>
      <c r="B60" s="169" t="s">
        <v>341</v>
      </c>
      <c r="C60" s="168" t="s">
        <v>133</v>
      </c>
      <c r="D60" s="168">
        <v>-1</v>
      </c>
      <c r="E60" s="167" t="str">
        <f ca="1">_xll.DBRA("mfc:skz",B60,"Group")</f>
        <v>Exeptional items &amp; accounting changes</v>
      </c>
      <c r="F60" s="187" t="s">
        <v>11</v>
      </c>
      <c r="G60" s="171" t="e">
        <f ca="1">_xll.DBRW($A$1,$C60,$B60,G$3,G$1,G$2,$A60)*$D60</f>
        <v>#VALUE!</v>
      </c>
      <c r="H60" s="14" t="e">
        <f ca="1">_xll.DBRW($A$1,$C60,$B60,H$3,H$1,H$2,$A60)*$D60</f>
        <v>#VALUE!</v>
      </c>
      <c r="I60" s="14" t="e">
        <f t="shared" ca="1" si="11"/>
        <v>#VALUE!</v>
      </c>
      <c r="J60" s="171" t="e">
        <f ca="1">_xll.DBRW($A$1,$C60,$B60,J$3,J$1,J$2,$A60)*$D60</f>
        <v>#VALUE!</v>
      </c>
      <c r="K60" s="14" t="e">
        <f ca="1">_xll.DBRW($A$1,$C60,$B60,K$3,K$1,K$2,$A60)*$D60</f>
        <v>#VALUE!</v>
      </c>
      <c r="L60" s="14" t="e">
        <f t="shared" ca="1" si="12"/>
        <v>#VALUE!</v>
      </c>
      <c r="M60" s="171" t="e">
        <f ca="1">_xll.DBRW($A$1,$C60,$B60,M$3,M$1,M$2,$A60)*$D60</f>
        <v>#VALUE!</v>
      </c>
      <c r="N60" s="14" t="e">
        <f ca="1">_xll.DBRW($A$1,$C60,$B60,N$3,N$1,N$2,$A60)*$D60</f>
        <v>#VALUE!</v>
      </c>
      <c r="O60" s="14" t="e">
        <f t="shared" ca="1" si="13"/>
        <v>#VALUE!</v>
      </c>
      <c r="P60" s="171" t="e">
        <f ca="1">_xll.DBRW($A$1,$C60,$B60,P$3,P$1,P$2,$A60)*$D60</f>
        <v>#VALUE!</v>
      </c>
      <c r="Q60" s="14" t="e">
        <f ca="1">_xll.DBRW($A$1,$C60,$B60,Q$3,Q$1,Q$2,$A60)*$D60</f>
        <v>#VALUE!</v>
      </c>
      <c r="R60" s="14" t="e">
        <f t="shared" ca="1" si="14"/>
        <v>#VALUE!</v>
      </c>
      <c r="S60" s="171" t="e">
        <f ca="1">_xll.DBRW($A$1,$C60,$B60,S$3,S$1,S$2,$A60)*$D60</f>
        <v>#VALUE!</v>
      </c>
      <c r="T60" s="14" t="e">
        <f ca="1">_xll.DBRW($A$1,$C60,$B60,T$3,T$1,T$2,$A60)*$D60</f>
        <v>#VALUE!</v>
      </c>
      <c r="U60" s="14" t="e">
        <f t="shared" ca="1" si="15"/>
        <v>#VALUE!</v>
      </c>
      <c r="V60" s="171" t="e">
        <f ca="1">_xll.DBRW($A$1,$C60,$B60,V$3,V$1,V$2,$A60)*$D60</f>
        <v>#VALUE!</v>
      </c>
      <c r="W60" s="14" t="e">
        <f ca="1">_xll.DBRW($A$1,$C60,$B60,W$3,W$1,W$2,$A60)*$D60</f>
        <v>#VALUE!</v>
      </c>
      <c r="X60" s="14" t="e">
        <f t="shared" ca="1" si="16"/>
        <v>#VALUE!</v>
      </c>
      <c r="Y60" s="171" t="e">
        <f ca="1">_xll.DBRW($A$1,$C60,$B60,Y$3,Y$1,Y$2,$A60)*$D60</f>
        <v>#VALUE!</v>
      </c>
      <c r="Z60" s="14" t="e">
        <f ca="1">_xll.DBRW($A$1,$C60,$B60,Z$3,Z$1,Z$2,$A60)*$D60</f>
        <v>#VALUE!</v>
      </c>
      <c r="AA60" s="14" t="e">
        <f t="shared" ca="1" si="17"/>
        <v>#VALUE!</v>
      </c>
      <c r="AB60" s="171" t="e">
        <f ca="1">_xll.DBRW($A$1,$C60,$B60,AB$3,AB$1,AB$2,$A60)*$D60</f>
        <v>#VALUE!</v>
      </c>
      <c r="AC60" s="14" t="e">
        <f ca="1">_xll.DBRW($A$1,$C60,$B60,AC$3,AC$1,AC$2,$A60)*$D60</f>
        <v>#VALUE!</v>
      </c>
      <c r="AD60" s="14" t="e">
        <f t="shared" ca="1" si="18"/>
        <v>#VALUE!</v>
      </c>
      <c r="AE60" s="171" t="e">
        <f ca="1">_xll.DBRW($A$1,$C60,$B60,AE$3,AE$1,AE$2,$A60)*$D60</f>
        <v>#VALUE!</v>
      </c>
      <c r="AF60" s="14" t="e">
        <f ca="1">_xll.DBRW($A$1,$C60,$B60,AF$3,AF$1,AF$2,$A60)*$D60</f>
        <v>#VALUE!</v>
      </c>
      <c r="AG60" s="14" t="e">
        <f t="shared" ca="1" si="19"/>
        <v>#VALUE!</v>
      </c>
      <c r="AH60" s="171" t="e">
        <f ca="1">_xll.DBRW($A$1,$C60,$B60,AH$3,AH$1,AH$2,$A60)*$D60</f>
        <v>#VALUE!</v>
      </c>
      <c r="AI60" s="14" t="e">
        <f ca="1">_xll.DBRW($A$1,$C60,$B60,AI$3,AI$1,AI$2,$A60)*$D60</f>
        <v>#VALUE!</v>
      </c>
      <c r="AJ60" s="14" t="e">
        <f t="shared" ca="1" si="20"/>
        <v>#VALUE!</v>
      </c>
      <c r="AK60" s="171" t="e">
        <f ca="1">_xll.DBRW($A$1,$C60,$B60,AK$3,AK$1,AK$2,$A60)*$D60</f>
        <v>#VALUE!</v>
      </c>
      <c r="AL60" s="14" t="e">
        <f ca="1">_xll.DBRW($A$1,$C60,$B60,AL$3,AL$1,AL$2,$A60)*$D60</f>
        <v>#VALUE!</v>
      </c>
      <c r="AM60" s="14" t="e">
        <f t="shared" ca="1" si="21"/>
        <v>#VALUE!</v>
      </c>
    </row>
    <row r="61" spans="1:39" ht="15" customHeight="1">
      <c r="A61" s="170" t="s">
        <v>324</v>
      </c>
      <c r="B61" s="169" t="s">
        <v>347</v>
      </c>
      <c r="C61" s="168" t="s">
        <v>133</v>
      </c>
      <c r="D61" s="168">
        <v>1</v>
      </c>
      <c r="E61" s="167" t="str">
        <f ca="1">_xll.DBRA("mfc:skz",B61,"Group")</f>
        <v>Inventory Effect</v>
      </c>
      <c r="F61" s="27" t="s">
        <v>293</v>
      </c>
      <c r="G61" s="171" t="e">
        <f ca="1">_xll.DBRW($A$1,$C61,$B61,G$3,G$1,G$2,$A61)*$D61</f>
        <v>#VALUE!</v>
      </c>
      <c r="H61" s="14" t="e">
        <f ca="1">_xll.DBRW($A$1,$C61,$B61,H$3,H$1,H$2,$A61)*$D61</f>
        <v>#VALUE!</v>
      </c>
      <c r="I61" s="14" t="e">
        <f t="shared" ca="1" si="11"/>
        <v>#VALUE!</v>
      </c>
      <c r="J61" s="171" t="e">
        <f ca="1">_xll.DBRW($A$1,$C61,$B61,J$3,J$1,J$2,$A61)*$D61</f>
        <v>#VALUE!</v>
      </c>
      <c r="K61" s="14" t="e">
        <f ca="1">_xll.DBRW($A$1,$C61,$B61,K$3,K$1,K$2,$A61)*$D61</f>
        <v>#VALUE!</v>
      </c>
      <c r="L61" s="14" t="e">
        <f t="shared" ca="1" si="12"/>
        <v>#VALUE!</v>
      </c>
      <c r="M61" s="171" t="e">
        <f ca="1">_xll.DBRW($A$1,$C61,$B61,M$3,M$1,M$2,$A61)*$D61</f>
        <v>#VALUE!</v>
      </c>
      <c r="N61" s="14" t="e">
        <f ca="1">_xll.DBRW($A$1,$C61,$B61,N$3,N$1,N$2,$A61)*$D61</f>
        <v>#VALUE!</v>
      </c>
      <c r="O61" s="14" t="e">
        <f t="shared" ca="1" si="13"/>
        <v>#VALUE!</v>
      </c>
      <c r="P61" s="171" t="e">
        <f ca="1">_xll.DBRW($A$1,$C61,$B61,P$3,P$1,P$2,$A61)*$D61</f>
        <v>#VALUE!</v>
      </c>
      <c r="Q61" s="14" t="e">
        <f ca="1">_xll.DBRW($A$1,$C61,$B61,Q$3,Q$1,Q$2,$A61)*$D61</f>
        <v>#VALUE!</v>
      </c>
      <c r="R61" s="14" t="e">
        <f t="shared" ca="1" si="14"/>
        <v>#VALUE!</v>
      </c>
      <c r="S61" s="171" t="e">
        <f ca="1">_xll.DBRW($A$1,$C61,$B61,S$3,S$1,S$2,$A61)*$D61</f>
        <v>#VALUE!</v>
      </c>
      <c r="T61" s="14" t="e">
        <f ca="1">_xll.DBRW($A$1,$C61,$B61,T$3,T$1,T$2,$A61)*$D61</f>
        <v>#VALUE!</v>
      </c>
      <c r="U61" s="14" t="e">
        <f t="shared" ca="1" si="15"/>
        <v>#VALUE!</v>
      </c>
      <c r="V61" s="171" t="e">
        <f ca="1">_xll.DBRW($A$1,$C61,$B61,V$3,V$1,V$2,$A61)*$D61</f>
        <v>#VALUE!</v>
      </c>
      <c r="W61" s="14" t="e">
        <f ca="1">_xll.DBRW($A$1,$C61,$B61,W$3,W$1,W$2,$A61)*$D61</f>
        <v>#VALUE!</v>
      </c>
      <c r="X61" s="14" t="e">
        <f t="shared" ca="1" si="16"/>
        <v>#VALUE!</v>
      </c>
      <c r="Y61" s="171" t="e">
        <f ca="1">_xll.DBRW($A$1,$C61,$B61,Y$3,Y$1,Y$2,$A61)*$D61</f>
        <v>#VALUE!</v>
      </c>
      <c r="Z61" s="14" t="e">
        <f ca="1">_xll.DBRW($A$1,$C61,$B61,Z$3,Z$1,Z$2,$A61)*$D61</f>
        <v>#VALUE!</v>
      </c>
      <c r="AA61" s="14" t="e">
        <f t="shared" ca="1" si="17"/>
        <v>#VALUE!</v>
      </c>
      <c r="AB61" s="171" t="e">
        <f ca="1">_xll.DBRW($A$1,$C61,$B61,AB$3,AB$1,AB$2,$A61)*$D61</f>
        <v>#VALUE!</v>
      </c>
      <c r="AC61" s="14" t="e">
        <f ca="1">_xll.DBRW($A$1,$C61,$B61,AC$3,AC$1,AC$2,$A61)*$D61</f>
        <v>#VALUE!</v>
      </c>
      <c r="AD61" s="14" t="e">
        <f t="shared" ca="1" si="18"/>
        <v>#VALUE!</v>
      </c>
      <c r="AE61" s="171" t="e">
        <f ca="1">_xll.DBRW($A$1,$C61,$B61,AE$3,AE$1,AE$2,$A61)*$D61</f>
        <v>#VALUE!</v>
      </c>
      <c r="AF61" s="14" t="e">
        <f ca="1">_xll.DBRW($A$1,$C61,$B61,AF$3,AF$1,AF$2,$A61)*$D61</f>
        <v>#VALUE!</v>
      </c>
      <c r="AG61" s="14" t="e">
        <f t="shared" ca="1" si="19"/>
        <v>#VALUE!</v>
      </c>
      <c r="AH61" s="171" t="e">
        <f ca="1">_xll.DBRW($A$1,$C61,$B61,AH$3,AH$1,AH$2,$A61)*$D61</f>
        <v>#VALUE!</v>
      </c>
      <c r="AI61" s="14" t="e">
        <f ca="1">_xll.DBRW($A$1,$C61,$B61,AI$3,AI$1,AI$2,$A61)*$D61</f>
        <v>#VALUE!</v>
      </c>
      <c r="AJ61" s="14" t="e">
        <f t="shared" ca="1" si="20"/>
        <v>#VALUE!</v>
      </c>
      <c r="AK61" s="171" t="e">
        <f ca="1">_xll.DBRW($A$1,$C61,$B61,AK$3,AK$1,AK$2,$A61)*$D61</f>
        <v>#VALUE!</v>
      </c>
      <c r="AL61" s="14" t="e">
        <f ca="1">_xll.DBRW($A$1,$C61,$B61,AL$3,AL$1,AL$2,$A61)*$D61</f>
        <v>#VALUE!</v>
      </c>
      <c r="AM61" s="14" t="e">
        <f t="shared" ca="1" si="21"/>
        <v>#VALUE!</v>
      </c>
    </row>
    <row r="62" spans="1:39" ht="15" customHeight="1">
      <c r="A62" s="170" t="s">
        <v>324</v>
      </c>
      <c r="B62" s="169" t="s">
        <v>339</v>
      </c>
      <c r="C62" s="168" t="s">
        <v>133</v>
      </c>
      <c r="D62" s="168">
        <v>1</v>
      </c>
      <c r="E62" s="167" t="str">
        <f ca="1">_xll.DBRA("mfc:skz",B62,"Group")</f>
        <v>Clean EBIT CCS</v>
      </c>
      <c r="F62" s="34" t="s">
        <v>292</v>
      </c>
      <c r="G62" s="171" t="e">
        <f ca="1">_xll.DBRW($A$1,$C62,$B62,G$3,G$1,G$2,$A62)*$D62</f>
        <v>#VALUE!</v>
      </c>
      <c r="H62" s="14" t="e">
        <f ca="1">_xll.DBRW($A$1,$C62,$B62,H$3,H$1,H$2,$A62)*$D62</f>
        <v>#VALUE!</v>
      </c>
      <c r="I62" s="14" t="e">
        <f t="shared" ca="1" si="11"/>
        <v>#VALUE!</v>
      </c>
      <c r="J62" s="171" t="e">
        <f ca="1">_xll.DBRW($A$1,$C62,$B62,J$3,J$1,J$2,$A62)*$D62</f>
        <v>#VALUE!</v>
      </c>
      <c r="K62" s="14" t="e">
        <f ca="1">_xll.DBRW($A$1,$C62,$B62,K$3,K$1,K$2,$A62)*$D62</f>
        <v>#VALUE!</v>
      </c>
      <c r="L62" s="14" t="e">
        <f t="shared" ca="1" si="12"/>
        <v>#VALUE!</v>
      </c>
      <c r="M62" s="171" t="e">
        <f ca="1">_xll.DBRW($A$1,$C62,$B62,M$3,M$1,M$2,$A62)*$D62</f>
        <v>#VALUE!</v>
      </c>
      <c r="N62" s="14" t="e">
        <f ca="1">_xll.DBRW($A$1,$C62,$B62,N$3,N$1,N$2,$A62)*$D62</f>
        <v>#VALUE!</v>
      </c>
      <c r="O62" s="14" t="e">
        <f t="shared" ca="1" si="13"/>
        <v>#VALUE!</v>
      </c>
      <c r="P62" s="171" t="e">
        <f ca="1">_xll.DBRW($A$1,$C62,$B62,P$3,P$1,P$2,$A62)*$D62</f>
        <v>#VALUE!</v>
      </c>
      <c r="Q62" s="14" t="e">
        <f ca="1">_xll.DBRW($A$1,$C62,$B62,Q$3,Q$1,Q$2,$A62)*$D62</f>
        <v>#VALUE!</v>
      </c>
      <c r="R62" s="14" t="e">
        <f t="shared" ca="1" si="14"/>
        <v>#VALUE!</v>
      </c>
      <c r="S62" s="171" t="e">
        <f ca="1">_xll.DBRW($A$1,$C62,$B62,S$3,S$1,S$2,$A62)*$D62</f>
        <v>#VALUE!</v>
      </c>
      <c r="T62" s="14" t="e">
        <f ca="1">_xll.DBRW($A$1,$C62,$B62,T$3,T$1,T$2,$A62)*$D62</f>
        <v>#VALUE!</v>
      </c>
      <c r="U62" s="14" t="e">
        <f t="shared" ca="1" si="15"/>
        <v>#VALUE!</v>
      </c>
      <c r="V62" s="171" t="e">
        <f ca="1">_xll.DBRW($A$1,$C62,$B62,V$3,V$1,V$2,$A62)*$D62</f>
        <v>#VALUE!</v>
      </c>
      <c r="W62" s="14" t="e">
        <f ca="1">_xll.DBRW($A$1,$C62,$B62,W$3,W$1,W$2,$A62)*$D62</f>
        <v>#VALUE!</v>
      </c>
      <c r="X62" s="14" t="e">
        <f t="shared" ca="1" si="16"/>
        <v>#VALUE!</v>
      </c>
      <c r="Y62" s="171" t="e">
        <f ca="1">_xll.DBRW($A$1,$C62,$B62,Y$3,Y$1,Y$2,$A62)*$D62</f>
        <v>#VALUE!</v>
      </c>
      <c r="Z62" s="14" t="e">
        <f ca="1">_xll.DBRW($A$1,$C62,$B62,Z$3,Z$1,Z$2,$A62)*$D62</f>
        <v>#VALUE!</v>
      </c>
      <c r="AA62" s="14" t="e">
        <f t="shared" ca="1" si="17"/>
        <v>#VALUE!</v>
      </c>
      <c r="AB62" s="171" t="e">
        <f ca="1">_xll.DBRW($A$1,$C62,$B62,AB$3,AB$1,AB$2,$A62)*$D62</f>
        <v>#VALUE!</v>
      </c>
      <c r="AC62" s="14" t="e">
        <f ca="1">_xll.DBRW($A$1,$C62,$B62,AC$3,AC$1,AC$2,$A62)*$D62</f>
        <v>#VALUE!</v>
      </c>
      <c r="AD62" s="14" t="e">
        <f t="shared" ca="1" si="18"/>
        <v>#VALUE!</v>
      </c>
      <c r="AE62" s="171" t="e">
        <f ca="1">_xll.DBRW($A$1,$C62,$B62,AE$3,AE$1,AE$2,$A62)*$D62</f>
        <v>#VALUE!</v>
      </c>
      <c r="AF62" s="14" t="e">
        <f ca="1">_xll.DBRW($A$1,$C62,$B62,AF$3,AF$1,AF$2,$A62)*$D62</f>
        <v>#VALUE!</v>
      </c>
      <c r="AG62" s="14" t="e">
        <f t="shared" ca="1" si="19"/>
        <v>#VALUE!</v>
      </c>
      <c r="AH62" s="171" t="e">
        <f ca="1">_xll.DBRW($A$1,$C62,$B62,AH$3,AH$1,AH$2,$A62)*$D62</f>
        <v>#VALUE!</v>
      </c>
      <c r="AI62" s="14" t="e">
        <f ca="1">_xll.DBRW($A$1,$C62,$B62,AI$3,AI$1,AI$2,$A62)*$D62</f>
        <v>#VALUE!</v>
      </c>
      <c r="AJ62" s="14" t="e">
        <f t="shared" ca="1" si="20"/>
        <v>#VALUE!</v>
      </c>
      <c r="AK62" s="171" t="e">
        <f ca="1">_xll.DBRW($A$1,$C62,$B62,AK$3,AK$1,AK$2,$A62)*$D62</f>
        <v>#VALUE!</v>
      </c>
      <c r="AL62" s="14" t="e">
        <f ca="1">_xll.DBRW($A$1,$C62,$B62,AL$3,AL$1,AL$2,$A62)*$D62</f>
        <v>#VALUE!</v>
      </c>
      <c r="AM62" s="14" t="e">
        <f t="shared" ca="1" si="21"/>
        <v>#VALUE!</v>
      </c>
    </row>
    <row r="63" spans="1:39" ht="15" customHeight="1">
      <c r="A63" s="170" t="s">
        <v>323</v>
      </c>
      <c r="B63" s="169" t="s">
        <v>339</v>
      </c>
      <c r="C63" s="168" t="s">
        <v>133</v>
      </c>
      <c r="D63" s="168">
        <v>1</v>
      </c>
      <c r="E63" s="167" t="str">
        <f ca="1">_xll.DBRA("mfc:skz",B63,"Group")</f>
        <v>Clean EBIT CCS</v>
      </c>
      <c r="F63" s="30" t="s">
        <v>190</v>
      </c>
      <c r="G63" s="171" t="e">
        <f ca="1">_xll.DBRW($A$1,$C63,$B63,G$3,G$1,G$2,$A63)*$D63</f>
        <v>#VALUE!</v>
      </c>
      <c r="H63" s="14" t="e">
        <f ca="1">_xll.DBRW($A$1,$C63,$B63,H$3,H$1,H$2,$A63)*$D63</f>
        <v>#VALUE!</v>
      </c>
      <c r="I63" s="14" t="e">
        <f t="shared" ca="1" si="11"/>
        <v>#VALUE!</v>
      </c>
      <c r="J63" s="171" t="e">
        <f ca="1">_xll.DBRW($A$1,$C63,$B63,J$3,J$1,J$2,$A63)*$D63</f>
        <v>#VALUE!</v>
      </c>
      <c r="K63" s="14" t="e">
        <f ca="1">_xll.DBRW($A$1,$C63,$B63,K$3,K$1,K$2,$A63)*$D63</f>
        <v>#VALUE!</v>
      </c>
      <c r="L63" s="14" t="e">
        <f t="shared" ca="1" si="12"/>
        <v>#VALUE!</v>
      </c>
      <c r="M63" s="171" t="e">
        <f ca="1">_xll.DBRW($A$1,$C63,$B63,M$3,M$1,M$2,$A63)*$D63</f>
        <v>#VALUE!</v>
      </c>
      <c r="N63" s="14" t="e">
        <f ca="1">_xll.DBRW($A$1,$C63,$B63,N$3,N$1,N$2,$A63)*$D63</f>
        <v>#VALUE!</v>
      </c>
      <c r="O63" s="14" t="e">
        <f t="shared" ca="1" si="13"/>
        <v>#VALUE!</v>
      </c>
      <c r="P63" s="171" t="e">
        <f ca="1">_xll.DBRW($A$1,$C63,$B63,P$3,P$1,P$2,$A63)*$D63</f>
        <v>#VALUE!</v>
      </c>
      <c r="Q63" s="14" t="e">
        <f ca="1">_xll.DBRW($A$1,$C63,$B63,Q$3,Q$1,Q$2,$A63)*$D63</f>
        <v>#VALUE!</v>
      </c>
      <c r="R63" s="14" t="e">
        <f t="shared" ca="1" si="14"/>
        <v>#VALUE!</v>
      </c>
      <c r="S63" s="171" t="e">
        <f ca="1">_xll.DBRW($A$1,$C63,$B63,S$3,S$1,S$2,$A63)*$D63</f>
        <v>#VALUE!</v>
      </c>
      <c r="T63" s="14" t="e">
        <f ca="1">_xll.DBRW($A$1,$C63,$B63,T$3,T$1,T$2,$A63)*$D63</f>
        <v>#VALUE!</v>
      </c>
      <c r="U63" s="14" t="e">
        <f t="shared" ca="1" si="15"/>
        <v>#VALUE!</v>
      </c>
      <c r="V63" s="171" t="e">
        <f ca="1">_xll.DBRW($A$1,$C63,$B63,V$3,V$1,V$2,$A63)*$D63</f>
        <v>#VALUE!</v>
      </c>
      <c r="W63" s="14" t="e">
        <f ca="1">_xll.DBRW($A$1,$C63,$B63,W$3,W$1,W$2,$A63)*$D63</f>
        <v>#VALUE!</v>
      </c>
      <c r="X63" s="14" t="e">
        <f t="shared" ca="1" si="16"/>
        <v>#VALUE!</v>
      </c>
      <c r="Y63" s="171" t="e">
        <f ca="1">_xll.DBRW($A$1,$C63,$B63,Y$3,Y$1,Y$2,$A63)*$D63</f>
        <v>#VALUE!</v>
      </c>
      <c r="Z63" s="14" t="e">
        <f ca="1">_xll.DBRW($A$1,$C63,$B63,Z$3,Z$1,Z$2,$A63)*$D63</f>
        <v>#VALUE!</v>
      </c>
      <c r="AA63" s="14" t="e">
        <f t="shared" ca="1" si="17"/>
        <v>#VALUE!</v>
      </c>
      <c r="AB63" s="171" t="e">
        <f ca="1">_xll.DBRW($A$1,$C63,$B63,AB$3,AB$1,AB$2,$A63)*$D63</f>
        <v>#VALUE!</v>
      </c>
      <c r="AC63" s="14" t="e">
        <f ca="1">_xll.DBRW($A$1,$C63,$B63,AC$3,AC$1,AC$2,$A63)*$D63</f>
        <v>#VALUE!</v>
      </c>
      <c r="AD63" s="14" t="e">
        <f t="shared" ca="1" si="18"/>
        <v>#VALUE!</v>
      </c>
      <c r="AE63" s="171" t="e">
        <f ca="1">_xll.DBRW($A$1,$C63,$B63,AE$3,AE$1,AE$2,$A63)*$D63</f>
        <v>#VALUE!</v>
      </c>
      <c r="AF63" s="14" t="e">
        <f ca="1">_xll.DBRW($A$1,$C63,$B63,AF$3,AF$1,AF$2,$A63)*$D63</f>
        <v>#VALUE!</v>
      </c>
      <c r="AG63" s="14" t="e">
        <f t="shared" ca="1" si="19"/>
        <v>#VALUE!</v>
      </c>
      <c r="AH63" s="171" t="e">
        <f ca="1">_xll.DBRW($A$1,$C63,$B63,AH$3,AH$1,AH$2,$A63)*$D63</f>
        <v>#VALUE!</v>
      </c>
      <c r="AI63" s="14" t="e">
        <f ca="1">_xll.DBRW($A$1,$C63,$B63,AI$3,AI$1,AI$2,$A63)*$D63</f>
        <v>#VALUE!</v>
      </c>
      <c r="AJ63" s="14" t="e">
        <f t="shared" ca="1" si="20"/>
        <v>#VALUE!</v>
      </c>
      <c r="AK63" s="171" t="e">
        <f ca="1">_xll.DBRW($A$1,$C63,$B63,AK$3,AK$1,AK$2,$A63)*$D63</f>
        <v>#VALUE!</v>
      </c>
      <c r="AL63" s="14" t="e">
        <f ca="1">_xll.DBRW($A$1,$C63,$B63,AL$3,AL$1,AL$2,$A63)*$D63</f>
        <v>#VALUE!</v>
      </c>
      <c r="AM63" s="14" t="e">
        <f t="shared" ca="1" si="21"/>
        <v>#VALUE!</v>
      </c>
    </row>
    <row r="64" spans="1:39" ht="15" customHeight="1">
      <c r="A64" s="170" t="s">
        <v>322</v>
      </c>
      <c r="B64" s="169" t="s">
        <v>339</v>
      </c>
      <c r="C64" s="168" t="s">
        <v>133</v>
      </c>
      <c r="D64" s="168">
        <v>1</v>
      </c>
      <c r="E64" s="167" t="str">
        <f ca="1">_xll.DBRA("mfc:skz",B64,"Group")</f>
        <v>Clean EBIT CCS</v>
      </c>
      <c r="F64" s="30" t="s">
        <v>191</v>
      </c>
      <c r="G64" s="171" t="e">
        <f ca="1">_xll.DBRW($A$1,$C64,$B64,G$3,G$1,G$2,$A64)*$D64</f>
        <v>#VALUE!</v>
      </c>
      <c r="H64" s="14" t="e">
        <f ca="1">_xll.DBRW($A$1,$C64,$B64,H$3,H$1,H$2,$A64)*$D64</f>
        <v>#VALUE!</v>
      </c>
      <c r="I64" s="14" t="e">
        <f t="shared" ca="1" si="11"/>
        <v>#VALUE!</v>
      </c>
      <c r="J64" s="171" t="e">
        <f ca="1">_xll.DBRW($A$1,$C64,$B64,J$3,J$1,J$2,$A64)*$D64</f>
        <v>#VALUE!</v>
      </c>
      <c r="K64" s="14" t="e">
        <f ca="1">_xll.DBRW($A$1,$C64,$B64,K$3,K$1,K$2,$A64)*$D64</f>
        <v>#VALUE!</v>
      </c>
      <c r="L64" s="14" t="e">
        <f t="shared" ca="1" si="12"/>
        <v>#VALUE!</v>
      </c>
      <c r="M64" s="171" t="e">
        <f ca="1">_xll.DBRW($A$1,$C64,$B64,M$3,M$1,M$2,$A64)*$D64</f>
        <v>#VALUE!</v>
      </c>
      <c r="N64" s="14" t="e">
        <f ca="1">_xll.DBRW($A$1,$C64,$B64,N$3,N$1,N$2,$A64)*$D64</f>
        <v>#VALUE!</v>
      </c>
      <c r="O64" s="14" t="e">
        <f t="shared" ca="1" si="13"/>
        <v>#VALUE!</v>
      </c>
      <c r="P64" s="171" t="e">
        <f ca="1">_xll.DBRW($A$1,$C64,$B64,P$3,P$1,P$2,$A64)*$D64</f>
        <v>#VALUE!</v>
      </c>
      <c r="Q64" s="14" t="e">
        <f ca="1">_xll.DBRW($A$1,$C64,$B64,Q$3,Q$1,Q$2,$A64)*$D64</f>
        <v>#VALUE!</v>
      </c>
      <c r="R64" s="14" t="e">
        <f t="shared" ca="1" si="14"/>
        <v>#VALUE!</v>
      </c>
      <c r="S64" s="171" t="e">
        <f ca="1">_xll.DBRW($A$1,$C64,$B64,S$3,S$1,S$2,$A64)*$D64</f>
        <v>#VALUE!</v>
      </c>
      <c r="T64" s="14" t="e">
        <f ca="1">_xll.DBRW($A$1,$C64,$B64,T$3,T$1,T$2,$A64)*$D64</f>
        <v>#VALUE!</v>
      </c>
      <c r="U64" s="14" t="e">
        <f t="shared" ca="1" si="15"/>
        <v>#VALUE!</v>
      </c>
      <c r="V64" s="171" t="e">
        <f ca="1">_xll.DBRW($A$1,$C64,$B64,V$3,V$1,V$2,$A64)*$D64</f>
        <v>#VALUE!</v>
      </c>
      <c r="W64" s="14" t="e">
        <f ca="1">_xll.DBRW($A$1,$C64,$B64,W$3,W$1,W$2,$A64)*$D64</f>
        <v>#VALUE!</v>
      </c>
      <c r="X64" s="14" t="e">
        <f t="shared" ca="1" si="16"/>
        <v>#VALUE!</v>
      </c>
      <c r="Y64" s="171" t="e">
        <f ca="1">_xll.DBRW($A$1,$C64,$B64,Y$3,Y$1,Y$2,$A64)*$D64</f>
        <v>#VALUE!</v>
      </c>
      <c r="Z64" s="14" t="e">
        <f ca="1">_xll.DBRW($A$1,$C64,$B64,Z$3,Z$1,Z$2,$A64)*$D64</f>
        <v>#VALUE!</v>
      </c>
      <c r="AA64" s="14" t="e">
        <f t="shared" ca="1" si="17"/>
        <v>#VALUE!</v>
      </c>
      <c r="AB64" s="171" t="e">
        <f ca="1">_xll.DBRW($A$1,$C64,$B64,AB$3,AB$1,AB$2,$A64)*$D64</f>
        <v>#VALUE!</v>
      </c>
      <c r="AC64" s="14" t="e">
        <f ca="1">_xll.DBRW($A$1,$C64,$B64,AC$3,AC$1,AC$2,$A64)*$D64</f>
        <v>#VALUE!</v>
      </c>
      <c r="AD64" s="14" t="e">
        <f t="shared" ca="1" si="18"/>
        <v>#VALUE!</v>
      </c>
      <c r="AE64" s="171" t="e">
        <f ca="1">_xll.DBRW($A$1,$C64,$B64,AE$3,AE$1,AE$2,$A64)*$D64</f>
        <v>#VALUE!</v>
      </c>
      <c r="AF64" s="14" t="e">
        <f ca="1">_xll.DBRW($A$1,$C64,$B64,AF$3,AF$1,AF$2,$A64)*$D64</f>
        <v>#VALUE!</v>
      </c>
      <c r="AG64" s="14" t="e">
        <f t="shared" ca="1" si="19"/>
        <v>#VALUE!</v>
      </c>
      <c r="AH64" s="171" t="e">
        <f ca="1">_xll.DBRW($A$1,$C64,$B64,AH$3,AH$1,AH$2,$A64)*$D64</f>
        <v>#VALUE!</v>
      </c>
      <c r="AI64" s="14" t="e">
        <f ca="1">_xll.DBRW($A$1,$C64,$B64,AI$3,AI$1,AI$2,$A64)*$D64</f>
        <v>#VALUE!</v>
      </c>
      <c r="AJ64" s="14" t="e">
        <f t="shared" ca="1" si="20"/>
        <v>#VALUE!</v>
      </c>
      <c r="AK64" s="171" t="e">
        <f ca="1">_xll.DBRW($A$1,$C64,$B64,AK$3,AK$1,AK$2,$A64)*$D64</f>
        <v>#VALUE!</v>
      </c>
      <c r="AL64" s="14" t="e">
        <f ca="1">_xll.DBRW($A$1,$C64,$B64,AL$3,AL$1,AL$2,$A64)*$D64</f>
        <v>#VALUE!</v>
      </c>
      <c r="AM64" s="14" t="e">
        <f t="shared" ca="1" si="21"/>
        <v>#VALUE!</v>
      </c>
    </row>
    <row r="65" spans="1:39" ht="15" customHeight="1">
      <c r="A65" s="170" t="s">
        <v>324</v>
      </c>
      <c r="B65" s="169" t="s">
        <v>326</v>
      </c>
      <c r="C65" s="168" t="s">
        <v>133</v>
      </c>
      <c r="D65" s="168">
        <v>1</v>
      </c>
      <c r="E65" s="167" t="str">
        <f ca="1">_xll.DBRA("mfc:skz",B65,"Group")</f>
        <v>EBITD</v>
      </c>
      <c r="F65" s="187" t="s">
        <v>135</v>
      </c>
      <c r="G65" s="171" t="e">
        <f ca="1">_xll.DBRW($A$1,$C65,$B65,G$3,G$1,G$2,$A65)*$D65</f>
        <v>#VALUE!</v>
      </c>
      <c r="H65" s="14" t="e">
        <f ca="1">_xll.DBRW($A$1,$C65,$B65,H$3,H$1,H$2,$A65)*$D65</f>
        <v>#VALUE!</v>
      </c>
      <c r="I65" s="14" t="e">
        <f t="shared" ca="1" si="11"/>
        <v>#VALUE!</v>
      </c>
      <c r="J65" s="171" t="e">
        <f ca="1">_xll.DBRW($A$1,$C65,$B65,J$3,J$1,J$2,$A65)*$D65</f>
        <v>#VALUE!</v>
      </c>
      <c r="K65" s="14" t="e">
        <f ca="1">_xll.DBRW($A$1,$C65,$B65,K$3,K$1,K$2,$A65)*$D65</f>
        <v>#VALUE!</v>
      </c>
      <c r="L65" s="14" t="e">
        <f t="shared" ca="1" si="12"/>
        <v>#VALUE!</v>
      </c>
      <c r="M65" s="171" t="e">
        <f ca="1">_xll.DBRW($A$1,$C65,$B65,M$3,M$1,M$2,$A65)*$D65</f>
        <v>#VALUE!</v>
      </c>
      <c r="N65" s="14" t="e">
        <f ca="1">_xll.DBRW($A$1,$C65,$B65,N$3,N$1,N$2,$A65)*$D65</f>
        <v>#VALUE!</v>
      </c>
      <c r="O65" s="14" t="e">
        <f t="shared" ca="1" si="13"/>
        <v>#VALUE!</v>
      </c>
      <c r="P65" s="171" t="e">
        <f ca="1">_xll.DBRW($A$1,$C65,$B65,P$3,P$1,P$2,$A65)*$D65</f>
        <v>#VALUE!</v>
      </c>
      <c r="Q65" s="14" t="e">
        <f ca="1">_xll.DBRW($A$1,$C65,$B65,Q$3,Q$1,Q$2,$A65)*$D65</f>
        <v>#VALUE!</v>
      </c>
      <c r="R65" s="14" t="e">
        <f t="shared" ca="1" si="14"/>
        <v>#VALUE!</v>
      </c>
      <c r="S65" s="171" t="e">
        <f ca="1">_xll.DBRW($A$1,$C65,$B65,S$3,S$1,S$2,$A65)*$D65</f>
        <v>#VALUE!</v>
      </c>
      <c r="T65" s="14" t="e">
        <f ca="1">_xll.DBRW($A$1,$C65,$B65,T$3,T$1,T$2,$A65)*$D65</f>
        <v>#VALUE!</v>
      </c>
      <c r="U65" s="14" t="e">
        <f t="shared" ca="1" si="15"/>
        <v>#VALUE!</v>
      </c>
      <c r="V65" s="171" t="e">
        <f ca="1">_xll.DBRW($A$1,$C65,$B65,V$3,V$1,V$2,$A65)*$D65</f>
        <v>#VALUE!</v>
      </c>
      <c r="W65" s="14" t="e">
        <f ca="1">_xll.DBRW($A$1,$C65,$B65,W$3,W$1,W$2,$A65)*$D65</f>
        <v>#VALUE!</v>
      </c>
      <c r="X65" s="14" t="e">
        <f t="shared" ca="1" si="16"/>
        <v>#VALUE!</v>
      </c>
      <c r="Y65" s="171" t="e">
        <f ca="1">_xll.DBRW($A$1,$C65,$B65,Y$3,Y$1,Y$2,$A65)*$D65</f>
        <v>#VALUE!</v>
      </c>
      <c r="Z65" s="14" t="e">
        <f ca="1">_xll.DBRW($A$1,$C65,$B65,Z$3,Z$1,Z$2,$A65)*$D65</f>
        <v>#VALUE!</v>
      </c>
      <c r="AA65" s="14" t="e">
        <f t="shared" ca="1" si="17"/>
        <v>#VALUE!</v>
      </c>
      <c r="AB65" s="171" t="e">
        <f ca="1">_xll.DBRW($A$1,$C65,$B65,AB$3,AB$1,AB$2,$A65)*$D65</f>
        <v>#VALUE!</v>
      </c>
      <c r="AC65" s="14" t="e">
        <f ca="1">_xll.DBRW($A$1,$C65,$B65,AC$3,AC$1,AC$2,$A65)*$D65</f>
        <v>#VALUE!</v>
      </c>
      <c r="AD65" s="14" t="e">
        <f t="shared" ca="1" si="18"/>
        <v>#VALUE!</v>
      </c>
      <c r="AE65" s="171" t="e">
        <f ca="1">_xll.DBRW($A$1,$C65,$B65,AE$3,AE$1,AE$2,$A65)*$D65</f>
        <v>#VALUE!</v>
      </c>
      <c r="AF65" s="14" t="e">
        <f ca="1">_xll.DBRW($A$1,$C65,$B65,AF$3,AF$1,AF$2,$A65)*$D65</f>
        <v>#VALUE!</v>
      </c>
      <c r="AG65" s="14" t="e">
        <f t="shared" ca="1" si="19"/>
        <v>#VALUE!</v>
      </c>
      <c r="AH65" s="171" t="e">
        <f ca="1">_xll.DBRW($A$1,$C65,$B65,AH$3,AH$1,AH$2,$A65)*$D65</f>
        <v>#VALUE!</v>
      </c>
      <c r="AI65" s="14" t="e">
        <f ca="1">_xll.DBRW($A$1,$C65,$B65,AI$3,AI$1,AI$2,$A65)*$D65</f>
        <v>#VALUE!</v>
      </c>
      <c r="AJ65" s="14" t="e">
        <f t="shared" ca="1" si="20"/>
        <v>#VALUE!</v>
      </c>
      <c r="AK65" s="171" t="e">
        <f ca="1">_xll.DBRW($A$1,$C65,$B65,AK$3,AK$1,AK$2,$A65)*$D65</f>
        <v>#VALUE!</v>
      </c>
      <c r="AL65" s="14" t="e">
        <f ca="1">_xll.DBRW($A$1,$C65,$B65,AL$3,AL$1,AL$2,$A65)*$D65</f>
        <v>#VALUE!</v>
      </c>
      <c r="AM65" s="14" t="e">
        <f t="shared" ca="1" si="21"/>
        <v>#VALUE!</v>
      </c>
    </row>
    <row r="66" spans="1:39" ht="15" customHeight="1">
      <c r="A66" s="170" t="s">
        <v>324</v>
      </c>
      <c r="B66" s="169" t="s">
        <v>342</v>
      </c>
      <c r="C66" s="168" t="s">
        <v>133</v>
      </c>
      <c r="D66" s="168">
        <v>1</v>
      </c>
      <c r="E66" s="167" t="str">
        <f ca="1">_xll.DBRA("mfc:skz",B66,"Group")</f>
        <v>Clean EBITD (CCS)</v>
      </c>
      <c r="F66" s="93" t="s">
        <v>294</v>
      </c>
      <c r="G66" s="171" t="e">
        <f ca="1">_xll.DBRW($A$1,$C66,$B66,G$3,G$1,G$2,$A66)*$D66</f>
        <v>#VALUE!</v>
      </c>
      <c r="H66" s="14" t="e">
        <f ca="1">_xll.DBRW($A$1,$C66,$B66,H$3,H$1,H$2,$A66)*$D66</f>
        <v>#VALUE!</v>
      </c>
      <c r="I66" s="14" t="e">
        <f t="shared" ca="1" si="11"/>
        <v>#VALUE!</v>
      </c>
      <c r="J66" s="171" t="e">
        <f ca="1">_xll.DBRW($A$1,$C66,$B66,J$3,J$1,J$2,$A66)*$D66</f>
        <v>#VALUE!</v>
      </c>
      <c r="K66" s="14" t="e">
        <f ca="1">_xll.DBRW($A$1,$C66,$B66,K$3,K$1,K$2,$A66)*$D66</f>
        <v>#VALUE!</v>
      </c>
      <c r="L66" s="14" t="e">
        <f t="shared" ca="1" si="12"/>
        <v>#VALUE!</v>
      </c>
      <c r="M66" s="171" t="e">
        <f ca="1">_xll.DBRW($A$1,$C66,$B66,M$3,M$1,M$2,$A66)*$D66</f>
        <v>#VALUE!</v>
      </c>
      <c r="N66" s="14" t="e">
        <f ca="1">_xll.DBRW($A$1,$C66,$B66,N$3,N$1,N$2,$A66)*$D66</f>
        <v>#VALUE!</v>
      </c>
      <c r="O66" s="14" t="e">
        <f t="shared" ca="1" si="13"/>
        <v>#VALUE!</v>
      </c>
      <c r="P66" s="171" t="e">
        <f ca="1">_xll.DBRW($A$1,$C66,$B66,P$3,P$1,P$2,$A66)*$D66</f>
        <v>#VALUE!</v>
      </c>
      <c r="Q66" s="14" t="e">
        <f ca="1">_xll.DBRW($A$1,$C66,$B66,Q$3,Q$1,Q$2,$A66)*$D66</f>
        <v>#VALUE!</v>
      </c>
      <c r="R66" s="14" t="e">
        <f t="shared" ca="1" si="14"/>
        <v>#VALUE!</v>
      </c>
      <c r="S66" s="171" t="e">
        <f ca="1">_xll.DBRW($A$1,$C66,$B66,S$3,S$1,S$2,$A66)*$D66</f>
        <v>#VALUE!</v>
      </c>
      <c r="T66" s="14" t="e">
        <f ca="1">_xll.DBRW($A$1,$C66,$B66,T$3,T$1,T$2,$A66)*$D66</f>
        <v>#VALUE!</v>
      </c>
      <c r="U66" s="14" t="e">
        <f t="shared" ca="1" si="15"/>
        <v>#VALUE!</v>
      </c>
      <c r="V66" s="171" t="e">
        <f ca="1">_xll.DBRW($A$1,$C66,$B66,V$3,V$1,V$2,$A66)*$D66</f>
        <v>#VALUE!</v>
      </c>
      <c r="W66" s="14" t="e">
        <f ca="1">_xll.DBRW($A$1,$C66,$B66,W$3,W$1,W$2,$A66)*$D66</f>
        <v>#VALUE!</v>
      </c>
      <c r="X66" s="14" t="e">
        <f t="shared" ca="1" si="16"/>
        <v>#VALUE!</v>
      </c>
      <c r="Y66" s="171" t="e">
        <f ca="1">_xll.DBRW($A$1,$C66,$B66,Y$3,Y$1,Y$2,$A66)*$D66</f>
        <v>#VALUE!</v>
      </c>
      <c r="Z66" s="14" t="e">
        <f ca="1">_xll.DBRW($A$1,$C66,$B66,Z$3,Z$1,Z$2,$A66)*$D66</f>
        <v>#VALUE!</v>
      </c>
      <c r="AA66" s="14" t="e">
        <f t="shared" ca="1" si="17"/>
        <v>#VALUE!</v>
      </c>
      <c r="AB66" s="171" t="e">
        <f ca="1">_xll.DBRW($A$1,$C66,$B66,AB$3,AB$1,AB$2,$A66)*$D66</f>
        <v>#VALUE!</v>
      </c>
      <c r="AC66" s="14" t="e">
        <f ca="1">_xll.DBRW($A$1,$C66,$B66,AC$3,AC$1,AC$2,$A66)*$D66</f>
        <v>#VALUE!</v>
      </c>
      <c r="AD66" s="14" t="e">
        <f t="shared" ca="1" si="18"/>
        <v>#VALUE!</v>
      </c>
      <c r="AE66" s="171" t="e">
        <f ca="1">_xll.DBRW($A$1,$C66,$B66,AE$3,AE$1,AE$2,$A66)*$D66</f>
        <v>#VALUE!</v>
      </c>
      <c r="AF66" s="14" t="e">
        <f ca="1">_xll.DBRW($A$1,$C66,$B66,AF$3,AF$1,AF$2,$A66)*$D66</f>
        <v>#VALUE!</v>
      </c>
      <c r="AG66" s="14" t="e">
        <f t="shared" ca="1" si="19"/>
        <v>#VALUE!</v>
      </c>
      <c r="AH66" s="171" t="e">
        <f ca="1">_xll.DBRW($A$1,$C66,$B66,AH$3,AH$1,AH$2,$A66)*$D66</f>
        <v>#VALUE!</v>
      </c>
      <c r="AI66" s="14" t="e">
        <f ca="1">_xll.DBRW($A$1,$C66,$B66,AI$3,AI$1,AI$2,$A66)*$D66</f>
        <v>#VALUE!</v>
      </c>
      <c r="AJ66" s="14" t="e">
        <f t="shared" ca="1" si="20"/>
        <v>#VALUE!</v>
      </c>
      <c r="AK66" s="171" t="e">
        <f ca="1">_xll.DBRW($A$1,$C66,$B66,AK$3,AK$1,AK$2,$A66)*$D66</f>
        <v>#VALUE!</v>
      </c>
      <c r="AL66" s="14" t="e">
        <f ca="1">_xll.DBRW($A$1,$C66,$B66,AL$3,AL$1,AL$2,$A66)*$D66</f>
        <v>#VALUE!</v>
      </c>
      <c r="AM66" s="14" t="e">
        <f t="shared" ca="1" si="21"/>
        <v>#VALUE!</v>
      </c>
    </row>
    <row r="67" spans="1:39" ht="15" customHeight="1" thickBot="1">
      <c r="A67" s="170" t="s">
        <v>331</v>
      </c>
      <c r="B67" s="169" t="s">
        <v>329</v>
      </c>
      <c r="C67" s="168" t="s">
        <v>133</v>
      </c>
      <c r="D67" s="168">
        <v>1</v>
      </c>
      <c r="E67" s="167" t="str">
        <f ca="1">_xll.DBRA("mfc:skz",B67,"Group")</f>
        <v>CAPEX</v>
      </c>
      <c r="F67" s="41" t="s">
        <v>140</v>
      </c>
      <c r="G67" s="166" t="e">
        <f ca="1">_xll.DBRW($A$1,$C67,$B67,G$3,G$1,G$2,$A67)*$D67</f>
        <v>#VALUE!</v>
      </c>
      <c r="H67" s="72" t="e">
        <f ca="1">_xll.DBRW($A$1,$C67,$B67,H$3,H$1,H$2,$A67)*$D67</f>
        <v>#VALUE!</v>
      </c>
      <c r="I67" s="72" t="e">
        <f t="shared" ca="1" si="11"/>
        <v>#VALUE!</v>
      </c>
      <c r="J67" s="166" t="e">
        <f ca="1">_xll.DBRW($A$1,$C67,$B67,J$3,J$1,J$2,$A67)*$D67</f>
        <v>#VALUE!</v>
      </c>
      <c r="K67" s="72" t="e">
        <f ca="1">_xll.DBRW($A$1,$C67,$B67,K$3,K$1,K$2,$A67)*$D67</f>
        <v>#VALUE!</v>
      </c>
      <c r="L67" s="72" t="e">
        <f t="shared" ca="1" si="12"/>
        <v>#VALUE!</v>
      </c>
      <c r="M67" s="166" t="e">
        <f ca="1">_xll.DBRW($A$1,$C67,$B67,M$3,M$1,M$2,$A67)*$D67</f>
        <v>#VALUE!</v>
      </c>
      <c r="N67" s="72" t="e">
        <f ca="1">_xll.DBRW($A$1,$C67,$B67,N$3,N$1,N$2,$A67)*$D67</f>
        <v>#VALUE!</v>
      </c>
      <c r="O67" s="72" t="e">
        <f t="shared" ca="1" si="13"/>
        <v>#VALUE!</v>
      </c>
      <c r="P67" s="166" t="e">
        <f ca="1">_xll.DBRW($A$1,$C67,$B67,P$3,P$1,P$2,$A67)*$D67</f>
        <v>#VALUE!</v>
      </c>
      <c r="Q67" s="72" t="e">
        <f ca="1">_xll.DBRW($A$1,$C67,$B67,Q$3,Q$1,Q$2,$A67)*$D67</f>
        <v>#VALUE!</v>
      </c>
      <c r="R67" s="72" t="e">
        <f t="shared" ca="1" si="14"/>
        <v>#VALUE!</v>
      </c>
      <c r="S67" s="166" t="e">
        <f ca="1">_xll.DBRW($A$1,$C67,$B67,S$3,S$1,S$2,$A67)*$D67</f>
        <v>#VALUE!</v>
      </c>
      <c r="T67" s="72" t="e">
        <f ca="1">_xll.DBRW($A$1,$C67,$B67,T$3,T$1,T$2,$A67)*$D67</f>
        <v>#VALUE!</v>
      </c>
      <c r="U67" s="72" t="e">
        <f t="shared" ca="1" si="15"/>
        <v>#VALUE!</v>
      </c>
      <c r="V67" s="166" t="e">
        <f ca="1">_xll.DBRW($A$1,$C67,$B67,V$3,V$1,V$2,$A67)*$D67</f>
        <v>#VALUE!</v>
      </c>
      <c r="W67" s="72" t="e">
        <f ca="1">_xll.DBRW($A$1,$C67,$B67,W$3,W$1,W$2,$A67)*$D67</f>
        <v>#VALUE!</v>
      </c>
      <c r="X67" s="72" t="e">
        <f t="shared" ca="1" si="16"/>
        <v>#VALUE!</v>
      </c>
      <c r="Y67" s="166" t="e">
        <f ca="1">_xll.DBRW($A$1,$C67,$B67,Y$3,Y$1,Y$2,$A67)*$D67</f>
        <v>#VALUE!</v>
      </c>
      <c r="Z67" s="72" t="e">
        <f ca="1">_xll.DBRW($A$1,$C67,$B67,Z$3,Z$1,Z$2,$A67)*$D67</f>
        <v>#VALUE!</v>
      </c>
      <c r="AA67" s="72" t="e">
        <f t="shared" ca="1" si="17"/>
        <v>#VALUE!</v>
      </c>
      <c r="AB67" s="166" t="e">
        <f ca="1">_xll.DBRW($A$1,$C67,$B67,AB$3,AB$1,AB$2,$A67)*$D67</f>
        <v>#VALUE!</v>
      </c>
      <c r="AC67" s="72" t="e">
        <f ca="1">_xll.DBRW($A$1,$C67,$B67,AC$3,AC$1,AC$2,$A67)*$D67</f>
        <v>#VALUE!</v>
      </c>
      <c r="AD67" s="72" t="e">
        <f t="shared" ca="1" si="18"/>
        <v>#VALUE!</v>
      </c>
      <c r="AE67" s="166" t="e">
        <f ca="1">_xll.DBRW($A$1,$C67,$B67,AE$3,AE$1,AE$2,$A67)*$D67</f>
        <v>#VALUE!</v>
      </c>
      <c r="AF67" s="72" t="e">
        <f ca="1">_xll.DBRW($A$1,$C67,$B67,AF$3,AF$1,AF$2,$A67)*$D67</f>
        <v>#VALUE!</v>
      </c>
      <c r="AG67" s="72" t="e">
        <f t="shared" ca="1" si="19"/>
        <v>#VALUE!</v>
      </c>
      <c r="AH67" s="166" t="e">
        <f ca="1">_xll.DBRW($A$1,$C67,$B67,AH$3,AH$1,AH$2,$A67)*$D67</f>
        <v>#VALUE!</v>
      </c>
      <c r="AI67" s="72" t="e">
        <f ca="1">_xll.DBRW($A$1,$C67,$B67,AI$3,AI$1,AI$2,$A67)*$D67</f>
        <v>#VALUE!</v>
      </c>
      <c r="AJ67" s="72" t="e">
        <f t="shared" ca="1" si="20"/>
        <v>#VALUE!</v>
      </c>
      <c r="AK67" s="166" t="e">
        <f ca="1">_xll.DBRW($A$1,$C67,$B67,AK$3,AK$1,AK$2,$A67)*$D67</f>
        <v>#VALUE!</v>
      </c>
      <c r="AL67" s="72" t="e">
        <f ca="1">_xll.DBRW($A$1,$C67,$B67,AL$3,AL$1,AL$2,$A67)*$D67</f>
        <v>#VALUE!</v>
      </c>
      <c r="AM67" s="72" t="e">
        <f t="shared" ca="1" si="21"/>
        <v>#VALUE!</v>
      </c>
    </row>
    <row r="68" spans="1:39" ht="15" customHeight="1" thickTop="1">
      <c r="A68" s="170"/>
      <c r="B68" s="169"/>
      <c r="C68" s="168"/>
      <c r="D68" s="168"/>
      <c r="E68" s="167"/>
      <c r="F68" s="104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</row>
    <row r="69" spans="1:39" ht="15" customHeight="1">
      <c r="A69" s="170"/>
      <c r="B69" s="169"/>
      <c r="C69" s="168"/>
      <c r="D69" s="168"/>
      <c r="E69" s="167"/>
      <c r="F69" s="202" t="s">
        <v>295</v>
      </c>
    </row>
    <row r="70" spans="1:39" ht="15" customHeight="1">
      <c r="A70" s="170"/>
      <c r="B70" s="169"/>
      <c r="C70" s="168"/>
      <c r="D70" s="168"/>
      <c r="E70" s="167"/>
      <c r="F70" s="104"/>
    </row>
    <row r="71" spans="1:39" ht="15" customHeight="1">
      <c r="A71" s="170"/>
      <c r="B71" s="169"/>
      <c r="C71" s="168"/>
      <c r="D71" s="168"/>
      <c r="E71" s="167"/>
      <c r="F71" s="201" t="s">
        <v>193</v>
      </c>
      <c r="G71" s="201"/>
      <c r="H71" s="201"/>
      <c r="I71" s="201"/>
      <c r="J71" s="201"/>
      <c r="K71" s="201"/>
      <c r="L71" s="201"/>
      <c r="M71" s="201"/>
      <c r="N71" s="201"/>
      <c r="O71" s="201"/>
      <c r="P71" s="201"/>
      <c r="Q71" s="201"/>
      <c r="R71" s="201"/>
      <c r="S71" s="201"/>
      <c r="T71" s="201"/>
      <c r="U71" s="201"/>
      <c r="V71" s="201"/>
      <c r="W71" s="201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1"/>
      <c r="AK71" s="201"/>
      <c r="AL71" s="201"/>
      <c r="AM71" s="201"/>
    </row>
    <row r="72" spans="1:39" ht="15" customHeight="1">
      <c r="A72" s="170"/>
      <c r="B72" s="169"/>
      <c r="C72" s="168"/>
      <c r="D72" s="168"/>
      <c r="E72" s="167"/>
      <c r="F72" s="95"/>
      <c r="G72" s="200"/>
      <c r="H72" s="90"/>
      <c r="I72" s="90"/>
      <c r="J72" s="200"/>
      <c r="K72" s="90"/>
      <c r="L72" s="90"/>
      <c r="M72" s="200"/>
      <c r="N72" s="90"/>
      <c r="O72" s="90"/>
      <c r="P72" s="200"/>
      <c r="Q72" s="90"/>
      <c r="R72" s="90"/>
      <c r="S72" s="200"/>
      <c r="T72" s="90"/>
      <c r="U72" s="90"/>
      <c r="V72" s="200"/>
      <c r="W72" s="90"/>
      <c r="X72" s="90"/>
      <c r="Y72" s="200"/>
      <c r="Z72" s="90"/>
      <c r="AA72" s="90"/>
      <c r="AB72" s="200"/>
      <c r="AC72" s="90"/>
      <c r="AD72" s="90"/>
      <c r="AE72" s="200"/>
      <c r="AF72" s="90"/>
      <c r="AG72" s="90"/>
      <c r="AH72" s="200"/>
      <c r="AI72" s="90"/>
      <c r="AJ72" s="90"/>
      <c r="AK72" s="200"/>
      <c r="AL72" s="90"/>
      <c r="AM72" s="90"/>
    </row>
    <row r="73" spans="1:39" ht="15" customHeight="1" thickBot="1">
      <c r="A73" s="170"/>
      <c r="B73" s="169"/>
      <c r="C73" s="168"/>
      <c r="D73" s="168"/>
      <c r="E73" s="167"/>
      <c r="F73" s="26" t="s">
        <v>287</v>
      </c>
      <c r="G73" s="172"/>
      <c r="H73" s="9"/>
      <c r="I73" s="9"/>
      <c r="J73" s="172"/>
      <c r="K73" s="9"/>
      <c r="L73" s="9"/>
      <c r="M73" s="172"/>
      <c r="N73" s="9"/>
      <c r="O73" s="9"/>
      <c r="P73" s="172"/>
      <c r="Q73" s="9"/>
      <c r="R73" s="9"/>
      <c r="S73" s="172"/>
      <c r="T73" s="9"/>
      <c r="U73" s="9"/>
      <c r="V73" s="172"/>
      <c r="W73" s="9"/>
      <c r="X73" s="9"/>
      <c r="Y73" s="172"/>
      <c r="Z73" s="9"/>
      <c r="AA73" s="9"/>
      <c r="AB73" s="172"/>
      <c r="AC73" s="9"/>
      <c r="AD73" s="9"/>
      <c r="AE73" s="172"/>
      <c r="AF73" s="9"/>
      <c r="AG73" s="9"/>
      <c r="AH73" s="172"/>
      <c r="AI73" s="9"/>
      <c r="AJ73" s="9"/>
      <c r="AK73" s="172"/>
      <c r="AL73" s="9"/>
      <c r="AM73" s="9"/>
    </row>
    <row r="74" spans="1:39" ht="15" customHeight="1" thickTop="1">
      <c r="A74" s="170" t="s">
        <v>330</v>
      </c>
      <c r="B74" s="169" t="s">
        <v>336</v>
      </c>
      <c r="C74" s="168" t="s">
        <v>133</v>
      </c>
      <c r="D74" s="168">
        <v>1</v>
      </c>
      <c r="E74" s="167" t="str">
        <f ca="1">_xll.DBRA("mfc:skz",B74,"Group")</f>
        <v>Segment sales w/o petroleum tax</v>
      </c>
      <c r="F74" s="92" t="s">
        <v>189</v>
      </c>
      <c r="G74" s="171" t="e">
        <f ca="1">_xll.DBRW($A$1,$C74,$B74,G$3,G$1,G$2,$A74)*$D74</f>
        <v>#VALUE!</v>
      </c>
      <c r="H74" s="14" t="e">
        <f ca="1">_xll.DBRW($A$1,$C74,$B74,H$3,H$1,H$2,$A74)*$D74</f>
        <v>#VALUE!</v>
      </c>
      <c r="I74" s="14" t="e">
        <f t="shared" ref="I74:I82" ca="1" si="22">+G74-H74</f>
        <v>#VALUE!</v>
      </c>
      <c r="J74" s="171" t="e">
        <f ca="1">_xll.DBRW($A$1,$C74,$B74,J$3,J$1,J$2,$A74)*$D74</f>
        <v>#VALUE!</v>
      </c>
      <c r="K74" s="14" t="e">
        <f ca="1">_xll.DBRW($A$1,$C74,$B74,K$3,K$1,K$2,$A74)*$D74</f>
        <v>#VALUE!</v>
      </c>
      <c r="L74" s="14" t="e">
        <f t="shared" ref="L74:L82" ca="1" si="23">+J74-K74</f>
        <v>#VALUE!</v>
      </c>
      <c r="M74" s="171" t="e">
        <f ca="1">_xll.DBRW($A$1,$C74,$B74,M$3,M$1,M$2,$A74)*$D74</f>
        <v>#VALUE!</v>
      </c>
      <c r="N74" s="14" t="e">
        <f ca="1">_xll.DBRW($A$1,$C74,$B74,N$3,N$1,N$2,$A74)*$D74</f>
        <v>#VALUE!</v>
      </c>
      <c r="O74" s="14" t="e">
        <f t="shared" ref="O74:O82" ca="1" si="24">+M74-N74</f>
        <v>#VALUE!</v>
      </c>
      <c r="P74" s="171" t="e">
        <f ca="1">_xll.DBRW($A$1,$C74,$B74,P$3,P$1,P$2,$A74)*$D74</f>
        <v>#VALUE!</v>
      </c>
      <c r="Q74" s="14" t="e">
        <f ca="1">_xll.DBRW($A$1,$C74,$B74,Q$3,Q$1,Q$2,$A74)*$D74</f>
        <v>#VALUE!</v>
      </c>
      <c r="R74" s="14" t="e">
        <f t="shared" ref="R74:R82" ca="1" si="25">+P74-Q74</f>
        <v>#VALUE!</v>
      </c>
      <c r="S74" s="171" t="e">
        <f ca="1">_xll.DBRW($A$1,$C74,$B74,S$3,S$1,S$2,$A74)*$D74</f>
        <v>#VALUE!</v>
      </c>
      <c r="T74" s="14" t="e">
        <f ca="1">_xll.DBRW($A$1,$C74,$B74,T$3,T$1,T$2,$A74)*$D74</f>
        <v>#VALUE!</v>
      </c>
      <c r="U74" s="14" t="e">
        <f t="shared" ref="U74:U82" ca="1" si="26">+S74-T74</f>
        <v>#VALUE!</v>
      </c>
      <c r="V74" s="171" t="e">
        <f ca="1">_xll.DBRW($A$1,$C74,$B74,V$3,V$1,V$2,$A74)*$D74</f>
        <v>#VALUE!</v>
      </c>
      <c r="W74" s="14" t="e">
        <f ca="1">_xll.DBRW($A$1,$C74,$B74,W$3,W$1,W$2,$A74)*$D74</f>
        <v>#VALUE!</v>
      </c>
      <c r="X74" s="14" t="e">
        <f t="shared" ref="X74:X82" ca="1" si="27">+V74-W74</f>
        <v>#VALUE!</v>
      </c>
      <c r="Y74" s="171" t="e">
        <f ca="1">_xll.DBRW($A$1,$C74,$B74,Y$3,Y$1,Y$2,$A74)*$D74</f>
        <v>#VALUE!</v>
      </c>
      <c r="Z74" s="14" t="e">
        <f ca="1">_xll.DBRW($A$1,$C74,$B74,Z$3,Z$1,Z$2,$A74)*$D74</f>
        <v>#VALUE!</v>
      </c>
      <c r="AA74" s="14" t="e">
        <f t="shared" ref="AA74:AA82" ca="1" si="28">+Y74-Z74</f>
        <v>#VALUE!</v>
      </c>
      <c r="AB74" s="171" t="e">
        <f ca="1">_xll.DBRW($A$1,$C74,$B74,AB$3,AB$1,AB$2,$A74)*$D74</f>
        <v>#VALUE!</v>
      </c>
      <c r="AC74" s="14" t="e">
        <f ca="1">_xll.DBRW($A$1,$C74,$B74,AC$3,AC$1,AC$2,$A74)*$D74</f>
        <v>#VALUE!</v>
      </c>
      <c r="AD74" s="14" t="e">
        <f t="shared" ref="AD74:AD82" ca="1" si="29">+AB74-AC74</f>
        <v>#VALUE!</v>
      </c>
      <c r="AE74" s="171" t="e">
        <f ca="1">_xll.DBRW($A$1,$C74,$B74,AE$3,AE$1,AE$2,$A74)*$D74</f>
        <v>#VALUE!</v>
      </c>
      <c r="AF74" s="14" t="e">
        <f ca="1">_xll.DBRW($A$1,$C74,$B74,AF$3,AF$1,AF$2,$A74)*$D74</f>
        <v>#VALUE!</v>
      </c>
      <c r="AG74" s="14" t="e">
        <f t="shared" ref="AG74:AG82" ca="1" si="30">+AE74-AF74</f>
        <v>#VALUE!</v>
      </c>
      <c r="AH74" s="171" t="e">
        <f ca="1">_xll.DBRW($A$1,$C74,$B74,AH$3,AH$1,AH$2,$A74)*$D74</f>
        <v>#VALUE!</v>
      </c>
      <c r="AI74" s="14" t="e">
        <f ca="1">_xll.DBRW($A$1,$C74,$B74,AI$3,AI$1,AI$2,$A74)*$D74</f>
        <v>#VALUE!</v>
      </c>
      <c r="AJ74" s="14" t="e">
        <f t="shared" ref="AJ74:AJ82" ca="1" si="31">+AH74-AI74</f>
        <v>#VALUE!</v>
      </c>
      <c r="AK74" s="171" t="e">
        <f ca="1">_xll.DBRW($A$1,$C74,$B74,AK$3,AK$1,AK$2,$A74)*$D74</f>
        <v>#VALUE!</v>
      </c>
      <c r="AL74" s="14" t="e">
        <f ca="1">_xll.DBRW($A$1,$C74,$B74,AL$3,AL$1,AL$2,$A74)*$D74</f>
        <v>#VALUE!</v>
      </c>
      <c r="AM74" s="14" t="e">
        <f t="shared" ref="AM74:AM82" ca="1" si="32">+AK74-AL74</f>
        <v>#VALUE!</v>
      </c>
    </row>
    <row r="75" spans="1:39" ht="15" customHeight="1">
      <c r="A75" s="170" t="s">
        <v>323</v>
      </c>
      <c r="B75" s="169" t="s">
        <v>334</v>
      </c>
      <c r="C75" s="168" t="s">
        <v>133</v>
      </c>
      <c r="D75" s="168">
        <v>1</v>
      </c>
      <c r="E75" s="167" t="str">
        <f ca="1">_xll.DBRA("mfc:skz",B75,"Group")</f>
        <v>EBIT</v>
      </c>
      <c r="F75" s="187" t="s">
        <v>0</v>
      </c>
      <c r="G75" s="171" t="e">
        <f ca="1">_xll.DBRW($A$1,$C75,$B75,G$3,G$1,G$2,$A75)*$D75</f>
        <v>#VALUE!</v>
      </c>
      <c r="H75" s="14" t="e">
        <f ca="1">_xll.DBRW($A$1,$C75,$B75,H$3,H$1,H$2,$A75)*$D75</f>
        <v>#VALUE!</v>
      </c>
      <c r="I75" s="14" t="e">
        <f t="shared" ca="1" si="22"/>
        <v>#VALUE!</v>
      </c>
      <c r="J75" s="171" t="e">
        <f ca="1">_xll.DBRW($A$1,$C75,$B75,J$3,J$1,J$2,$A75)*$D75</f>
        <v>#VALUE!</v>
      </c>
      <c r="K75" s="14" t="e">
        <f ca="1">_xll.DBRW($A$1,$C75,$B75,K$3,K$1,K$2,$A75)*$D75</f>
        <v>#VALUE!</v>
      </c>
      <c r="L75" s="14" t="e">
        <f t="shared" ca="1" si="23"/>
        <v>#VALUE!</v>
      </c>
      <c r="M75" s="171" t="e">
        <f ca="1">_xll.DBRW($A$1,$C75,$B75,M$3,M$1,M$2,$A75)*$D75</f>
        <v>#VALUE!</v>
      </c>
      <c r="N75" s="14" t="e">
        <f ca="1">_xll.DBRW($A$1,$C75,$B75,N$3,N$1,N$2,$A75)*$D75</f>
        <v>#VALUE!</v>
      </c>
      <c r="O75" s="14" t="e">
        <f t="shared" ca="1" si="24"/>
        <v>#VALUE!</v>
      </c>
      <c r="P75" s="171" t="e">
        <f ca="1">_xll.DBRW($A$1,$C75,$B75,P$3,P$1,P$2,$A75)*$D75</f>
        <v>#VALUE!</v>
      </c>
      <c r="Q75" s="14" t="e">
        <f ca="1">_xll.DBRW($A$1,$C75,$B75,Q$3,Q$1,Q$2,$A75)*$D75</f>
        <v>#VALUE!</v>
      </c>
      <c r="R75" s="14" t="e">
        <f t="shared" ca="1" si="25"/>
        <v>#VALUE!</v>
      </c>
      <c r="S75" s="171" t="e">
        <f ca="1">_xll.DBRW($A$1,$C75,$B75,S$3,S$1,S$2,$A75)*$D75</f>
        <v>#VALUE!</v>
      </c>
      <c r="T75" s="14" t="e">
        <f ca="1">_xll.DBRW($A$1,$C75,$B75,T$3,T$1,T$2,$A75)*$D75</f>
        <v>#VALUE!</v>
      </c>
      <c r="U75" s="14" t="e">
        <f t="shared" ca="1" si="26"/>
        <v>#VALUE!</v>
      </c>
      <c r="V75" s="171" t="e">
        <f ca="1">_xll.DBRW($A$1,$C75,$B75,V$3,V$1,V$2,$A75)*$D75</f>
        <v>#VALUE!</v>
      </c>
      <c r="W75" s="14" t="e">
        <f ca="1">_xll.DBRW($A$1,$C75,$B75,W$3,W$1,W$2,$A75)*$D75</f>
        <v>#VALUE!</v>
      </c>
      <c r="X75" s="14" t="e">
        <f t="shared" ca="1" si="27"/>
        <v>#VALUE!</v>
      </c>
      <c r="Y75" s="171" t="e">
        <f ca="1">_xll.DBRW($A$1,$C75,$B75,Y$3,Y$1,Y$2,$A75)*$D75</f>
        <v>#VALUE!</v>
      </c>
      <c r="Z75" s="14" t="e">
        <f ca="1">_xll.DBRW($A$1,$C75,$B75,Z$3,Z$1,Z$2,$A75)*$D75</f>
        <v>#VALUE!</v>
      </c>
      <c r="AA75" s="14" t="e">
        <f t="shared" ca="1" si="28"/>
        <v>#VALUE!</v>
      </c>
      <c r="AB75" s="171" t="e">
        <f ca="1">_xll.DBRW($A$1,$C75,$B75,AB$3,AB$1,AB$2,$A75)*$D75</f>
        <v>#VALUE!</v>
      </c>
      <c r="AC75" s="14" t="e">
        <f ca="1">_xll.DBRW($A$1,$C75,$B75,AC$3,AC$1,AC$2,$A75)*$D75</f>
        <v>#VALUE!</v>
      </c>
      <c r="AD75" s="14" t="e">
        <f t="shared" ca="1" si="29"/>
        <v>#VALUE!</v>
      </c>
      <c r="AE75" s="171" t="e">
        <f ca="1">_xll.DBRW($A$1,$C75,$B75,AE$3,AE$1,AE$2,$A75)*$D75</f>
        <v>#VALUE!</v>
      </c>
      <c r="AF75" s="14" t="e">
        <f ca="1">_xll.DBRW($A$1,$C75,$B75,AF$3,AF$1,AF$2,$A75)*$D75</f>
        <v>#VALUE!</v>
      </c>
      <c r="AG75" s="14" t="e">
        <f t="shared" ca="1" si="30"/>
        <v>#VALUE!</v>
      </c>
      <c r="AH75" s="171" t="e">
        <f ca="1">_xll.DBRW($A$1,$C75,$B75,AH$3,AH$1,AH$2,$A75)*$D75</f>
        <v>#VALUE!</v>
      </c>
      <c r="AI75" s="14" t="e">
        <f ca="1">_xll.DBRW($A$1,$C75,$B75,AI$3,AI$1,AI$2,$A75)*$D75</f>
        <v>#VALUE!</v>
      </c>
      <c r="AJ75" s="14" t="e">
        <f t="shared" ca="1" si="31"/>
        <v>#VALUE!</v>
      </c>
      <c r="AK75" s="171" t="e">
        <f ca="1">_xll.DBRW($A$1,$C75,$B75,AK$3,AK$1,AK$2,$A75)*$D75</f>
        <v>#VALUE!</v>
      </c>
      <c r="AL75" s="14" t="e">
        <f ca="1">_xll.DBRW($A$1,$C75,$B75,AL$3,AL$1,AL$2,$A75)*$D75</f>
        <v>#VALUE!</v>
      </c>
      <c r="AM75" s="14" t="e">
        <f t="shared" ca="1" si="32"/>
        <v>#VALUE!</v>
      </c>
    </row>
    <row r="76" spans="1:39" ht="15" customHeight="1">
      <c r="A76" s="170" t="s">
        <v>323</v>
      </c>
      <c r="B76" s="169" t="s">
        <v>341</v>
      </c>
      <c r="C76" s="168" t="s">
        <v>133</v>
      </c>
      <c r="D76" s="168">
        <v>-1</v>
      </c>
      <c r="E76" s="167" t="str">
        <f ca="1">_xll.DBRA("mfc:skz",B76,"Group")</f>
        <v>Exeptional items &amp; accounting changes</v>
      </c>
      <c r="F76" s="187" t="s">
        <v>11</v>
      </c>
      <c r="G76" s="171" t="e">
        <f ca="1">_xll.DBRW($A$1,$C76,$B76,G$3,G$1,G$2,$A76)*$D76</f>
        <v>#VALUE!</v>
      </c>
      <c r="H76" s="14" t="e">
        <f ca="1">_xll.DBRW($A$1,$C76,$B76,H$3,H$1,H$2,$A76)*$D76</f>
        <v>#VALUE!</v>
      </c>
      <c r="I76" s="14" t="e">
        <f t="shared" ca="1" si="22"/>
        <v>#VALUE!</v>
      </c>
      <c r="J76" s="171" t="e">
        <f ca="1">_xll.DBRW($A$1,$C76,$B76,J$3,J$1,J$2,$A76)*$D76</f>
        <v>#VALUE!</v>
      </c>
      <c r="K76" s="14" t="e">
        <f ca="1">_xll.DBRW($A$1,$C76,$B76,K$3,K$1,K$2,$A76)*$D76</f>
        <v>#VALUE!</v>
      </c>
      <c r="L76" s="14" t="e">
        <f t="shared" ca="1" si="23"/>
        <v>#VALUE!</v>
      </c>
      <c r="M76" s="171" t="e">
        <f ca="1">_xll.DBRW($A$1,$C76,$B76,M$3,M$1,M$2,$A76)*$D76</f>
        <v>#VALUE!</v>
      </c>
      <c r="N76" s="14" t="e">
        <f ca="1">_xll.DBRW($A$1,$C76,$B76,N$3,N$1,N$2,$A76)*$D76</f>
        <v>#VALUE!</v>
      </c>
      <c r="O76" s="14" t="e">
        <f t="shared" ca="1" si="24"/>
        <v>#VALUE!</v>
      </c>
      <c r="P76" s="171" t="e">
        <f ca="1">_xll.DBRW($A$1,$C76,$B76,P$3,P$1,P$2,$A76)*$D76</f>
        <v>#VALUE!</v>
      </c>
      <c r="Q76" s="14" t="e">
        <f ca="1">_xll.DBRW($A$1,$C76,$B76,Q$3,Q$1,Q$2,$A76)*$D76</f>
        <v>#VALUE!</v>
      </c>
      <c r="R76" s="14" t="e">
        <f t="shared" ca="1" si="25"/>
        <v>#VALUE!</v>
      </c>
      <c r="S76" s="171" t="e">
        <f ca="1">_xll.DBRW($A$1,$C76,$B76,S$3,S$1,S$2,$A76)*$D76</f>
        <v>#VALUE!</v>
      </c>
      <c r="T76" s="14" t="e">
        <f ca="1">_xll.DBRW($A$1,$C76,$B76,T$3,T$1,T$2,$A76)*$D76</f>
        <v>#VALUE!</v>
      </c>
      <c r="U76" s="14" t="e">
        <f t="shared" ca="1" si="26"/>
        <v>#VALUE!</v>
      </c>
      <c r="V76" s="171" t="e">
        <f ca="1">_xll.DBRW($A$1,$C76,$B76,V$3,V$1,V$2,$A76)*$D76</f>
        <v>#VALUE!</v>
      </c>
      <c r="W76" s="14" t="e">
        <f ca="1">_xll.DBRW($A$1,$C76,$B76,W$3,W$1,W$2,$A76)*$D76</f>
        <v>#VALUE!</v>
      </c>
      <c r="X76" s="14" t="e">
        <f t="shared" ca="1" si="27"/>
        <v>#VALUE!</v>
      </c>
      <c r="Y76" s="171" t="e">
        <f ca="1">_xll.DBRW($A$1,$C76,$B76,Y$3,Y$1,Y$2,$A76)*$D76</f>
        <v>#VALUE!</v>
      </c>
      <c r="Z76" s="14" t="e">
        <f ca="1">_xll.DBRW($A$1,$C76,$B76,Z$3,Z$1,Z$2,$A76)*$D76</f>
        <v>#VALUE!</v>
      </c>
      <c r="AA76" s="14" t="e">
        <f t="shared" ca="1" si="28"/>
        <v>#VALUE!</v>
      </c>
      <c r="AB76" s="171" t="e">
        <f ca="1">_xll.DBRW($A$1,$C76,$B76,AB$3,AB$1,AB$2,$A76)*$D76</f>
        <v>#VALUE!</v>
      </c>
      <c r="AC76" s="14" t="e">
        <f ca="1">_xll.DBRW($A$1,$C76,$B76,AC$3,AC$1,AC$2,$A76)*$D76</f>
        <v>#VALUE!</v>
      </c>
      <c r="AD76" s="14" t="e">
        <f t="shared" ca="1" si="29"/>
        <v>#VALUE!</v>
      </c>
      <c r="AE76" s="171" t="e">
        <f ca="1">_xll.DBRW($A$1,$C76,$B76,AE$3,AE$1,AE$2,$A76)*$D76</f>
        <v>#VALUE!</v>
      </c>
      <c r="AF76" s="14" t="e">
        <f ca="1">_xll.DBRW($A$1,$C76,$B76,AF$3,AF$1,AF$2,$A76)*$D76</f>
        <v>#VALUE!</v>
      </c>
      <c r="AG76" s="14" t="e">
        <f t="shared" ca="1" si="30"/>
        <v>#VALUE!</v>
      </c>
      <c r="AH76" s="171" t="e">
        <f ca="1">_xll.DBRW($A$1,$C76,$B76,AH$3,AH$1,AH$2,$A76)*$D76</f>
        <v>#VALUE!</v>
      </c>
      <c r="AI76" s="14" t="e">
        <f ca="1">_xll.DBRW($A$1,$C76,$B76,AI$3,AI$1,AI$2,$A76)*$D76</f>
        <v>#VALUE!</v>
      </c>
      <c r="AJ76" s="14" t="e">
        <f t="shared" ca="1" si="31"/>
        <v>#VALUE!</v>
      </c>
      <c r="AK76" s="171" t="e">
        <f ca="1">_xll.DBRW($A$1,$C76,$B76,AK$3,AK$1,AK$2,$A76)*$D76</f>
        <v>#VALUE!</v>
      </c>
      <c r="AL76" s="14" t="e">
        <f ca="1">_xll.DBRW($A$1,$C76,$B76,AL$3,AL$1,AL$2,$A76)*$D76</f>
        <v>#VALUE!</v>
      </c>
      <c r="AM76" s="14" t="e">
        <f t="shared" ca="1" si="32"/>
        <v>#VALUE!</v>
      </c>
    </row>
    <row r="77" spans="1:39" ht="15" customHeight="1">
      <c r="A77" s="170" t="s">
        <v>323</v>
      </c>
      <c r="B77" s="169" t="s">
        <v>347</v>
      </c>
      <c r="C77" s="168" t="s">
        <v>133</v>
      </c>
      <c r="D77" s="168">
        <v>1</v>
      </c>
      <c r="E77" s="167" t="str">
        <f ca="1">_xll.DBRA("mfc:skz",B77,"Group")</f>
        <v>Inventory Effect</v>
      </c>
      <c r="F77" s="27" t="s">
        <v>293</v>
      </c>
      <c r="G77" s="171" t="e">
        <f ca="1">_xll.DBRW($A$1,$C77,$B77,G$3,G$1,G$2,$A77)*$D77</f>
        <v>#VALUE!</v>
      </c>
      <c r="H77" s="14" t="e">
        <f ca="1">_xll.DBRW($A$1,$C77,$B77,H$3,H$1,H$2,$A77)*$D77</f>
        <v>#VALUE!</v>
      </c>
      <c r="I77" s="14" t="e">
        <f t="shared" ca="1" si="22"/>
        <v>#VALUE!</v>
      </c>
      <c r="J77" s="171" t="e">
        <f ca="1">_xll.DBRW($A$1,$C77,$B77,J$3,J$1,J$2,$A77)*$D77</f>
        <v>#VALUE!</v>
      </c>
      <c r="K77" s="14" t="e">
        <f ca="1">_xll.DBRW($A$1,$C77,$B77,K$3,K$1,K$2,$A77)*$D77</f>
        <v>#VALUE!</v>
      </c>
      <c r="L77" s="14" t="e">
        <f t="shared" ca="1" si="23"/>
        <v>#VALUE!</v>
      </c>
      <c r="M77" s="171" t="e">
        <f ca="1">_xll.DBRW($A$1,$C77,$B77,M$3,M$1,M$2,$A77)*$D77</f>
        <v>#VALUE!</v>
      </c>
      <c r="N77" s="14" t="e">
        <f ca="1">_xll.DBRW($A$1,$C77,$B77,N$3,N$1,N$2,$A77)*$D77</f>
        <v>#VALUE!</v>
      </c>
      <c r="O77" s="14" t="e">
        <f t="shared" ca="1" si="24"/>
        <v>#VALUE!</v>
      </c>
      <c r="P77" s="171" t="e">
        <f ca="1">_xll.DBRW($A$1,$C77,$B77,P$3,P$1,P$2,$A77)*$D77</f>
        <v>#VALUE!</v>
      </c>
      <c r="Q77" s="14" t="e">
        <f ca="1">_xll.DBRW($A$1,$C77,$B77,Q$3,Q$1,Q$2,$A77)*$D77</f>
        <v>#VALUE!</v>
      </c>
      <c r="R77" s="14" t="e">
        <f t="shared" ca="1" si="25"/>
        <v>#VALUE!</v>
      </c>
      <c r="S77" s="171" t="e">
        <f ca="1">_xll.DBRW($A$1,$C77,$B77,S$3,S$1,S$2,$A77)*$D77</f>
        <v>#VALUE!</v>
      </c>
      <c r="T77" s="14" t="e">
        <f ca="1">_xll.DBRW($A$1,$C77,$B77,T$3,T$1,T$2,$A77)*$D77</f>
        <v>#VALUE!</v>
      </c>
      <c r="U77" s="14" t="e">
        <f t="shared" ca="1" si="26"/>
        <v>#VALUE!</v>
      </c>
      <c r="V77" s="171" t="e">
        <f ca="1">_xll.DBRW($A$1,$C77,$B77,V$3,V$1,V$2,$A77)*$D77</f>
        <v>#VALUE!</v>
      </c>
      <c r="W77" s="14" t="e">
        <f ca="1">_xll.DBRW($A$1,$C77,$B77,W$3,W$1,W$2,$A77)*$D77</f>
        <v>#VALUE!</v>
      </c>
      <c r="X77" s="14" t="e">
        <f t="shared" ca="1" si="27"/>
        <v>#VALUE!</v>
      </c>
      <c r="Y77" s="171" t="e">
        <f ca="1">_xll.DBRW($A$1,$C77,$B77,Y$3,Y$1,Y$2,$A77)*$D77</f>
        <v>#VALUE!</v>
      </c>
      <c r="Z77" s="14" t="e">
        <f ca="1">_xll.DBRW($A$1,$C77,$B77,Z$3,Z$1,Z$2,$A77)*$D77</f>
        <v>#VALUE!</v>
      </c>
      <c r="AA77" s="14" t="e">
        <f t="shared" ca="1" si="28"/>
        <v>#VALUE!</v>
      </c>
      <c r="AB77" s="171" t="e">
        <f ca="1">_xll.DBRW($A$1,$C77,$B77,AB$3,AB$1,AB$2,$A77)*$D77</f>
        <v>#VALUE!</v>
      </c>
      <c r="AC77" s="14" t="e">
        <f ca="1">_xll.DBRW($A$1,$C77,$B77,AC$3,AC$1,AC$2,$A77)*$D77</f>
        <v>#VALUE!</v>
      </c>
      <c r="AD77" s="14" t="e">
        <f t="shared" ca="1" si="29"/>
        <v>#VALUE!</v>
      </c>
      <c r="AE77" s="171" t="e">
        <f ca="1">_xll.DBRW($A$1,$C77,$B77,AE$3,AE$1,AE$2,$A77)*$D77</f>
        <v>#VALUE!</v>
      </c>
      <c r="AF77" s="14" t="e">
        <f ca="1">_xll.DBRW($A$1,$C77,$B77,AF$3,AF$1,AF$2,$A77)*$D77</f>
        <v>#VALUE!</v>
      </c>
      <c r="AG77" s="14" t="e">
        <f t="shared" ca="1" si="30"/>
        <v>#VALUE!</v>
      </c>
      <c r="AH77" s="171" t="e">
        <f ca="1">_xll.DBRW($A$1,$C77,$B77,AH$3,AH$1,AH$2,$A77)*$D77</f>
        <v>#VALUE!</v>
      </c>
      <c r="AI77" s="14" t="e">
        <f ca="1">_xll.DBRW($A$1,$C77,$B77,AI$3,AI$1,AI$2,$A77)*$D77</f>
        <v>#VALUE!</v>
      </c>
      <c r="AJ77" s="14" t="e">
        <f t="shared" ca="1" si="31"/>
        <v>#VALUE!</v>
      </c>
      <c r="AK77" s="171" t="e">
        <f ca="1">_xll.DBRW($A$1,$C77,$B77,AK$3,AK$1,AK$2,$A77)*$D77</f>
        <v>#VALUE!</v>
      </c>
      <c r="AL77" s="14" t="e">
        <f ca="1">_xll.DBRW($A$1,$C77,$B77,AL$3,AL$1,AL$2,$A77)*$D77</f>
        <v>#VALUE!</v>
      </c>
      <c r="AM77" s="14" t="e">
        <f t="shared" ca="1" si="32"/>
        <v>#VALUE!</v>
      </c>
    </row>
    <row r="78" spans="1:39" ht="15" customHeight="1">
      <c r="A78" s="170" t="s">
        <v>323</v>
      </c>
      <c r="B78" s="169" t="s">
        <v>339</v>
      </c>
      <c r="C78" s="168" t="s">
        <v>133</v>
      </c>
      <c r="D78" s="168">
        <v>1</v>
      </c>
      <c r="E78" s="167" t="str">
        <f ca="1">_xll.DBRA("mfc:skz",B78,"Group")</f>
        <v>Clean EBIT CCS</v>
      </c>
      <c r="F78" s="34" t="s">
        <v>292</v>
      </c>
      <c r="G78" s="171" t="e">
        <f ca="1">_xll.DBRW($A$1,$C78,$B78,G$3,G$1,G$2,$A78)*$D78</f>
        <v>#VALUE!</v>
      </c>
      <c r="H78" s="14" t="e">
        <f ca="1">_xll.DBRW($A$1,$C78,$B78,H$3,H$1,H$2,$A78)*$D78</f>
        <v>#VALUE!</v>
      </c>
      <c r="I78" s="14" t="e">
        <f t="shared" ca="1" si="22"/>
        <v>#VALUE!</v>
      </c>
      <c r="J78" s="171" t="e">
        <f ca="1">_xll.DBRW($A$1,$C78,$B78,J$3,J$1,J$2,$A78)*$D78</f>
        <v>#VALUE!</v>
      </c>
      <c r="K78" s="14" t="e">
        <f ca="1">_xll.DBRW($A$1,$C78,$B78,K$3,K$1,K$2,$A78)*$D78</f>
        <v>#VALUE!</v>
      </c>
      <c r="L78" s="14" t="e">
        <f t="shared" ca="1" si="23"/>
        <v>#VALUE!</v>
      </c>
      <c r="M78" s="171" t="e">
        <f ca="1">_xll.DBRW($A$1,$C78,$B78,M$3,M$1,M$2,$A78)*$D78</f>
        <v>#VALUE!</v>
      </c>
      <c r="N78" s="14" t="e">
        <f ca="1">_xll.DBRW($A$1,$C78,$B78,N$3,N$1,N$2,$A78)*$D78</f>
        <v>#VALUE!</v>
      </c>
      <c r="O78" s="14" t="e">
        <f t="shared" ca="1" si="24"/>
        <v>#VALUE!</v>
      </c>
      <c r="P78" s="171" t="e">
        <f ca="1">_xll.DBRW($A$1,$C78,$B78,P$3,P$1,P$2,$A78)*$D78</f>
        <v>#VALUE!</v>
      </c>
      <c r="Q78" s="14" t="e">
        <f ca="1">_xll.DBRW($A$1,$C78,$B78,Q$3,Q$1,Q$2,$A78)*$D78</f>
        <v>#VALUE!</v>
      </c>
      <c r="R78" s="14" t="e">
        <f t="shared" ca="1" si="25"/>
        <v>#VALUE!</v>
      </c>
      <c r="S78" s="171" t="e">
        <f ca="1">_xll.DBRW($A$1,$C78,$B78,S$3,S$1,S$2,$A78)*$D78</f>
        <v>#VALUE!</v>
      </c>
      <c r="T78" s="14" t="e">
        <f ca="1">_xll.DBRW($A$1,$C78,$B78,T$3,T$1,T$2,$A78)*$D78</f>
        <v>#VALUE!</v>
      </c>
      <c r="U78" s="14" t="e">
        <f t="shared" ca="1" si="26"/>
        <v>#VALUE!</v>
      </c>
      <c r="V78" s="171" t="e">
        <f ca="1">_xll.DBRW($A$1,$C78,$B78,V$3,V$1,V$2,$A78)*$D78</f>
        <v>#VALUE!</v>
      </c>
      <c r="W78" s="14" t="e">
        <f ca="1">_xll.DBRW($A$1,$C78,$B78,W$3,W$1,W$2,$A78)*$D78</f>
        <v>#VALUE!</v>
      </c>
      <c r="X78" s="14" t="e">
        <f t="shared" ca="1" si="27"/>
        <v>#VALUE!</v>
      </c>
      <c r="Y78" s="171" t="e">
        <f ca="1">_xll.DBRW($A$1,$C78,$B78,Y$3,Y$1,Y$2,$A78)*$D78</f>
        <v>#VALUE!</v>
      </c>
      <c r="Z78" s="14" t="e">
        <f ca="1">_xll.DBRW($A$1,$C78,$B78,Z$3,Z$1,Z$2,$A78)*$D78</f>
        <v>#VALUE!</v>
      </c>
      <c r="AA78" s="14" t="e">
        <f t="shared" ca="1" si="28"/>
        <v>#VALUE!</v>
      </c>
      <c r="AB78" s="171" t="e">
        <f ca="1">_xll.DBRW($A$1,$C78,$B78,AB$3,AB$1,AB$2,$A78)*$D78</f>
        <v>#VALUE!</v>
      </c>
      <c r="AC78" s="14" t="e">
        <f ca="1">_xll.DBRW($A$1,$C78,$B78,AC$3,AC$1,AC$2,$A78)*$D78</f>
        <v>#VALUE!</v>
      </c>
      <c r="AD78" s="14" t="e">
        <f t="shared" ca="1" si="29"/>
        <v>#VALUE!</v>
      </c>
      <c r="AE78" s="171" t="e">
        <f ca="1">_xll.DBRW($A$1,$C78,$B78,AE$3,AE$1,AE$2,$A78)*$D78</f>
        <v>#VALUE!</v>
      </c>
      <c r="AF78" s="14" t="e">
        <f ca="1">_xll.DBRW($A$1,$C78,$B78,AF$3,AF$1,AF$2,$A78)*$D78</f>
        <v>#VALUE!</v>
      </c>
      <c r="AG78" s="14" t="e">
        <f t="shared" ca="1" si="30"/>
        <v>#VALUE!</v>
      </c>
      <c r="AH78" s="171" t="e">
        <f ca="1">_xll.DBRW($A$1,$C78,$B78,AH$3,AH$1,AH$2,$A78)*$D78</f>
        <v>#VALUE!</v>
      </c>
      <c r="AI78" s="14" t="e">
        <f ca="1">_xll.DBRW($A$1,$C78,$B78,AI$3,AI$1,AI$2,$A78)*$D78</f>
        <v>#VALUE!</v>
      </c>
      <c r="AJ78" s="14" t="e">
        <f t="shared" ca="1" si="31"/>
        <v>#VALUE!</v>
      </c>
      <c r="AK78" s="171" t="e">
        <f ca="1">_xll.DBRW($A$1,$C78,$B78,AK$3,AK$1,AK$2,$A78)*$D78</f>
        <v>#VALUE!</v>
      </c>
      <c r="AL78" s="14" t="e">
        <f ca="1">_xll.DBRW($A$1,$C78,$B78,AL$3,AL$1,AL$2,$A78)*$D78</f>
        <v>#VALUE!</v>
      </c>
      <c r="AM78" s="14" t="e">
        <f t="shared" ca="1" si="32"/>
        <v>#VALUE!</v>
      </c>
    </row>
    <row r="79" spans="1:39" ht="15" customHeight="1">
      <c r="A79" s="170" t="s">
        <v>345</v>
      </c>
      <c r="B79" s="169" t="s">
        <v>339</v>
      </c>
      <c r="C79" s="168" t="s">
        <v>133</v>
      </c>
      <c r="D79" s="168">
        <v>1</v>
      </c>
      <c r="E79" s="167" t="str">
        <f ca="1">_xll.DBRA("mfc:skz",B79,"Group")</f>
        <v>Clean EBIT CCS</v>
      </c>
      <c r="F79" s="30" t="s">
        <v>19</v>
      </c>
      <c r="G79" s="171" t="e">
        <f ca="1">_xll.DBRW($A$1,$C79,$B79,G$3,G$1,G$2,$A79)*$D79</f>
        <v>#VALUE!</v>
      </c>
      <c r="H79" s="14" t="e">
        <f ca="1">_xll.DBRW($A$1,$C79,$B79,H$3,H$1,H$2,$A79)*$D79</f>
        <v>#VALUE!</v>
      </c>
      <c r="I79" s="14" t="e">
        <f t="shared" ca="1" si="22"/>
        <v>#VALUE!</v>
      </c>
      <c r="J79" s="171" t="e">
        <f ca="1">_xll.DBRW($A$1,$C79,$B79,J$3,J$1,J$2,$A79)*$D79</f>
        <v>#VALUE!</v>
      </c>
      <c r="K79" s="14" t="e">
        <f ca="1">_xll.DBRW($A$1,$C79,$B79,K$3,K$1,K$2,$A79)*$D79</f>
        <v>#VALUE!</v>
      </c>
      <c r="L79" s="14" t="e">
        <f t="shared" ca="1" si="23"/>
        <v>#VALUE!</v>
      </c>
      <c r="M79" s="171" t="e">
        <f ca="1">_xll.DBRW($A$1,$C79,$B79,M$3,M$1,M$2,$A79)*$D79</f>
        <v>#VALUE!</v>
      </c>
      <c r="N79" s="14" t="e">
        <f ca="1">_xll.DBRW($A$1,$C79,$B79,N$3,N$1,N$2,$A79)*$D79</f>
        <v>#VALUE!</v>
      </c>
      <c r="O79" s="14" t="e">
        <f t="shared" ca="1" si="24"/>
        <v>#VALUE!</v>
      </c>
      <c r="P79" s="171" t="e">
        <f ca="1">_xll.DBRW($A$1,$C79,$B79,P$3,P$1,P$2,$A79)*$D79</f>
        <v>#VALUE!</v>
      </c>
      <c r="Q79" s="14" t="e">
        <f ca="1">_xll.DBRW($A$1,$C79,$B79,Q$3,Q$1,Q$2,$A79)*$D79</f>
        <v>#VALUE!</v>
      </c>
      <c r="R79" s="14" t="e">
        <f t="shared" ca="1" si="25"/>
        <v>#VALUE!</v>
      </c>
      <c r="S79" s="171" t="e">
        <f ca="1">_xll.DBRW($A$1,$C79,$B79,S$3,S$1,S$2,$A79)*$D79</f>
        <v>#VALUE!</v>
      </c>
      <c r="T79" s="14" t="e">
        <f ca="1">_xll.DBRW($A$1,$C79,$B79,T$3,T$1,T$2,$A79)*$D79</f>
        <v>#VALUE!</v>
      </c>
      <c r="U79" s="14" t="e">
        <f t="shared" ca="1" si="26"/>
        <v>#VALUE!</v>
      </c>
      <c r="V79" s="171" t="e">
        <f ca="1">_xll.DBRW($A$1,$C79,$B79,V$3,V$1,V$2,$A79)*$D79</f>
        <v>#VALUE!</v>
      </c>
      <c r="W79" s="14" t="e">
        <f ca="1">_xll.DBRW($A$1,$C79,$B79,W$3,W$1,W$2,$A79)*$D79</f>
        <v>#VALUE!</v>
      </c>
      <c r="X79" s="14" t="e">
        <f t="shared" ca="1" si="27"/>
        <v>#VALUE!</v>
      </c>
      <c r="Y79" s="171" t="e">
        <f ca="1">_xll.DBRW($A$1,$C79,$B79,Y$3,Y$1,Y$2,$A79)*$D79</f>
        <v>#VALUE!</v>
      </c>
      <c r="Z79" s="14" t="e">
        <f ca="1">_xll.DBRW($A$1,$C79,$B79,Z$3,Z$1,Z$2,$A79)*$D79</f>
        <v>#VALUE!</v>
      </c>
      <c r="AA79" s="14" t="e">
        <f t="shared" ca="1" si="28"/>
        <v>#VALUE!</v>
      </c>
      <c r="AB79" s="171" t="e">
        <f ca="1">_xll.DBRW($A$1,$C79,$B79,AB$3,AB$1,AB$2,$A79)*$D79</f>
        <v>#VALUE!</v>
      </c>
      <c r="AC79" s="14" t="e">
        <f ca="1">_xll.DBRW($A$1,$C79,$B79,AC$3,AC$1,AC$2,$A79)*$D79</f>
        <v>#VALUE!</v>
      </c>
      <c r="AD79" s="14" t="e">
        <f t="shared" ca="1" si="29"/>
        <v>#VALUE!</v>
      </c>
      <c r="AE79" s="171" t="e">
        <f ca="1">_xll.DBRW($A$1,$C79,$B79,AE$3,AE$1,AE$2,$A79)*$D79</f>
        <v>#VALUE!</v>
      </c>
      <c r="AF79" s="14" t="e">
        <f ca="1">_xll.DBRW($A$1,$C79,$B79,AF$3,AF$1,AF$2,$A79)*$D79</f>
        <v>#VALUE!</v>
      </c>
      <c r="AG79" s="14" t="e">
        <f t="shared" ca="1" si="30"/>
        <v>#VALUE!</v>
      </c>
      <c r="AH79" s="171" t="e">
        <f ca="1">_xll.DBRW($A$1,$C79,$B79,AH$3,AH$1,AH$2,$A79)*$D79</f>
        <v>#VALUE!</v>
      </c>
      <c r="AI79" s="14" t="e">
        <f ca="1">_xll.DBRW($A$1,$C79,$B79,AI$3,AI$1,AI$2,$A79)*$D79</f>
        <v>#VALUE!</v>
      </c>
      <c r="AJ79" s="14" t="e">
        <f t="shared" ca="1" si="31"/>
        <v>#VALUE!</v>
      </c>
      <c r="AK79" s="171" t="e">
        <f ca="1">_xll.DBRW($A$1,$C79,$B79,AK$3,AK$1,AK$2,$A79)*$D79</f>
        <v>#VALUE!</v>
      </c>
      <c r="AL79" s="14" t="e">
        <f ca="1">_xll.DBRW($A$1,$C79,$B79,AL$3,AL$1,AL$2,$A79)*$D79</f>
        <v>#VALUE!</v>
      </c>
      <c r="AM79" s="14" t="e">
        <f t="shared" ca="1" si="32"/>
        <v>#VALUE!</v>
      </c>
    </row>
    <row r="80" spans="1:39" ht="15" customHeight="1">
      <c r="A80" s="170" t="s">
        <v>323</v>
      </c>
      <c r="B80" s="169" t="s">
        <v>326</v>
      </c>
      <c r="C80" s="168" t="s">
        <v>133</v>
      </c>
      <c r="D80" s="168">
        <v>1</v>
      </c>
      <c r="E80" s="167" t="str">
        <f ca="1">_xll.DBRA("mfc:skz",B80,"Group")</f>
        <v>EBITD</v>
      </c>
      <c r="F80" s="187" t="s">
        <v>135</v>
      </c>
      <c r="G80" s="171" t="e">
        <f ca="1">_xll.DBRW($A$1,$C80,$B80,G$3,G$1,G$2,$A80)*$D80</f>
        <v>#VALUE!</v>
      </c>
      <c r="H80" s="14" t="e">
        <f ca="1">_xll.DBRW($A$1,$C80,$B80,H$3,H$1,H$2,$A80)*$D80</f>
        <v>#VALUE!</v>
      </c>
      <c r="I80" s="14" t="e">
        <f t="shared" ca="1" si="22"/>
        <v>#VALUE!</v>
      </c>
      <c r="J80" s="171" t="e">
        <f ca="1">_xll.DBRW($A$1,$C80,$B80,J$3,J$1,J$2,$A80)*$D80</f>
        <v>#VALUE!</v>
      </c>
      <c r="K80" s="14" t="e">
        <f ca="1">_xll.DBRW($A$1,$C80,$B80,K$3,K$1,K$2,$A80)*$D80</f>
        <v>#VALUE!</v>
      </c>
      <c r="L80" s="14" t="e">
        <f t="shared" ca="1" si="23"/>
        <v>#VALUE!</v>
      </c>
      <c r="M80" s="171" t="e">
        <f ca="1">_xll.DBRW($A$1,$C80,$B80,M$3,M$1,M$2,$A80)*$D80</f>
        <v>#VALUE!</v>
      </c>
      <c r="N80" s="14" t="e">
        <f ca="1">_xll.DBRW($A$1,$C80,$B80,N$3,N$1,N$2,$A80)*$D80</f>
        <v>#VALUE!</v>
      </c>
      <c r="O80" s="14" t="e">
        <f t="shared" ca="1" si="24"/>
        <v>#VALUE!</v>
      </c>
      <c r="P80" s="171" t="e">
        <f ca="1">_xll.DBRW($A$1,$C80,$B80,P$3,P$1,P$2,$A80)*$D80</f>
        <v>#VALUE!</v>
      </c>
      <c r="Q80" s="14" t="e">
        <f ca="1">_xll.DBRW($A$1,$C80,$B80,Q$3,Q$1,Q$2,$A80)*$D80</f>
        <v>#VALUE!</v>
      </c>
      <c r="R80" s="14" t="e">
        <f t="shared" ca="1" si="25"/>
        <v>#VALUE!</v>
      </c>
      <c r="S80" s="171" t="e">
        <f ca="1">_xll.DBRW($A$1,$C80,$B80,S$3,S$1,S$2,$A80)*$D80</f>
        <v>#VALUE!</v>
      </c>
      <c r="T80" s="14" t="e">
        <f ca="1">_xll.DBRW($A$1,$C80,$B80,T$3,T$1,T$2,$A80)*$D80</f>
        <v>#VALUE!</v>
      </c>
      <c r="U80" s="14" t="e">
        <f t="shared" ca="1" si="26"/>
        <v>#VALUE!</v>
      </c>
      <c r="V80" s="171" t="e">
        <f ca="1">_xll.DBRW($A$1,$C80,$B80,V$3,V$1,V$2,$A80)*$D80</f>
        <v>#VALUE!</v>
      </c>
      <c r="W80" s="14" t="e">
        <f ca="1">_xll.DBRW($A$1,$C80,$B80,W$3,W$1,W$2,$A80)*$D80</f>
        <v>#VALUE!</v>
      </c>
      <c r="X80" s="14" t="e">
        <f t="shared" ca="1" si="27"/>
        <v>#VALUE!</v>
      </c>
      <c r="Y80" s="171" t="e">
        <f ca="1">_xll.DBRW($A$1,$C80,$B80,Y$3,Y$1,Y$2,$A80)*$D80</f>
        <v>#VALUE!</v>
      </c>
      <c r="Z80" s="14" t="e">
        <f ca="1">_xll.DBRW($A$1,$C80,$B80,Z$3,Z$1,Z$2,$A80)*$D80</f>
        <v>#VALUE!</v>
      </c>
      <c r="AA80" s="14" t="e">
        <f t="shared" ca="1" si="28"/>
        <v>#VALUE!</v>
      </c>
      <c r="AB80" s="171" t="e">
        <f ca="1">_xll.DBRW($A$1,$C80,$B80,AB$3,AB$1,AB$2,$A80)*$D80</f>
        <v>#VALUE!</v>
      </c>
      <c r="AC80" s="14" t="e">
        <f ca="1">_xll.DBRW($A$1,$C80,$B80,AC$3,AC$1,AC$2,$A80)*$D80</f>
        <v>#VALUE!</v>
      </c>
      <c r="AD80" s="14" t="e">
        <f t="shared" ca="1" si="29"/>
        <v>#VALUE!</v>
      </c>
      <c r="AE80" s="171" t="e">
        <f ca="1">_xll.DBRW($A$1,$C80,$B80,AE$3,AE$1,AE$2,$A80)*$D80</f>
        <v>#VALUE!</v>
      </c>
      <c r="AF80" s="14" t="e">
        <f ca="1">_xll.DBRW($A$1,$C80,$B80,AF$3,AF$1,AF$2,$A80)*$D80</f>
        <v>#VALUE!</v>
      </c>
      <c r="AG80" s="14" t="e">
        <f t="shared" ca="1" si="30"/>
        <v>#VALUE!</v>
      </c>
      <c r="AH80" s="171" t="e">
        <f ca="1">_xll.DBRW($A$1,$C80,$B80,AH$3,AH$1,AH$2,$A80)*$D80</f>
        <v>#VALUE!</v>
      </c>
      <c r="AI80" s="14" t="e">
        <f ca="1">_xll.DBRW($A$1,$C80,$B80,AI$3,AI$1,AI$2,$A80)*$D80</f>
        <v>#VALUE!</v>
      </c>
      <c r="AJ80" s="14" t="e">
        <f t="shared" ca="1" si="31"/>
        <v>#VALUE!</v>
      </c>
      <c r="AK80" s="171" t="e">
        <f ca="1">_xll.DBRW($A$1,$C80,$B80,AK$3,AK$1,AK$2,$A80)*$D80</f>
        <v>#VALUE!</v>
      </c>
      <c r="AL80" s="14" t="e">
        <f ca="1">_xll.DBRW($A$1,$C80,$B80,AL$3,AL$1,AL$2,$A80)*$D80</f>
        <v>#VALUE!</v>
      </c>
      <c r="AM80" s="14" t="e">
        <f t="shared" ca="1" si="32"/>
        <v>#VALUE!</v>
      </c>
    </row>
    <row r="81" spans="1:39" ht="15" customHeight="1">
      <c r="A81" s="170" t="s">
        <v>323</v>
      </c>
      <c r="B81" s="169" t="s">
        <v>342</v>
      </c>
      <c r="C81" s="168" t="s">
        <v>133</v>
      </c>
      <c r="D81" s="168">
        <v>1</v>
      </c>
      <c r="E81" s="167" t="str">
        <f ca="1">_xll.DBRA("mfc:skz",B81,"Group")</f>
        <v>Clean EBITD (CCS)</v>
      </c>
      <c r="F81" s="93" t="s">
        <v>294</v>
      </c>
      <c r="G81" s="171" t="e">
        <f ca="1">_xll.DBRW($A$1,$C81,$B81,G$3,G$1,G$2,$A81)*$D81</f>
        <v>#VALUE!</v>
      </c>
      <c r="H81" s="14" t="e">
        <f ca="1">_xll.DBRW($A$1,$C81,$B81,H$3,H$1,H$2,$A81)*$D81</f>
        <v>#VALUE!</v>
      </c>
      <c r="I81" s="14" t="e">
        <f t="shared" ca="1" si="22"/>
        <v>#VALUE!</v>
      </c>
      <c r="J81" s="171" t="e">
        <f ca="1">_xll.DBRW($A$1,$C81,$B81,J$3,J$1,J$2,$A81)*$D81</f>
        <v>#VALUE!</v>
      </c>
      <c r="K81" s="14" t="e">
        <f ca="1">_xll.DBRW($A$1,$C81,$B81,K$3,K$1,K$2,$A81)*$D81</f>
        <v>#VALUE!</v>
      </c>
      <c r="L81" s="14" t="e">
        <f t="shared" ca="1" si="23"/>
        <v>#VALUE!</v>
      </c>
      <c r="M81" s="171" t="e">
        <f ca="1">_xll.DBRW($A$1,$C81,$B81,M$3,M$1,M$2,$A81)*$D81</f>
        <v>#VALUE!</v>
      </c>
      <c r="N81" s="14" t="e">
        <f ca="1">_xll.DBRW($A$1,$C81,$B81,N$3,N$1,N$2,$A81)*$D81</f>
        <v>#VALUE!</v>
      </c>
      <c r="O81" s="14" t="e">
        <f t="shared" ca="1" si="24"/>
        <v>#VALUE!</v>
      </c>
      <c r="P81" s="171" t="e">
        <f ca="1">_xll.DBRW($A$1,$C81,$B81,P$3,P$1,P$2,$A81)*$D81</f>
        <v>#VALUE!</v>
      </c>
      <c r="Q81" s="14" t="e">
        <f ca="1">_xll.DBRW($A$1,$C81,$B81,Q$3,Q$1,Q$2,$A81)*$D81</f>
        <v>#VALUE!</v>
      </c>
      <c r="R81" s="14" t="e">
        <f t="shared" ca="1" si="25"/>
        <v>#VALUE!</v>
      </c>
      <c r="S81" s="171" t="e">
        <f ca="1">_xll.DBRW($A$1,$C81,$B81,S$3,S$1,S$2,$A81)*$D81</f>
        <v>#VALUE!</v>
      </c>
      <c r="T81" s="14" t="e">
        <f ca="1">_xll.DBRW($A$1,$C81,$B81,T$3,T$1,T$2,$A81)*$D81</f>
        <v>#VALUE!</v>
      </c>
      <c r="U81" s="14" t="e">
        <f t="shared" ca="1" si="26"/>
        <v>#VALUE!</v>
      </c>
      <c r="V81" s="171" t="e">
        <f ca="1">_xll.DBRW($A$1,$C81,$B81,V$3,V$1,V$2,$A81)*$D81</f>
        <v>#VALUE!</v>
      </c>
      <c r="W81" s="14" t="e">
        <f ca="1">_xll.DBRW($A$1,$C81,$B81,W$3,W$1,W$2,$A81)*$D81</f>
        <v>#VALUE!</v>
      </c>
      <c r="X81" s="14" t="e">
        <f t="shared" ca="1" si="27"/>
        <v>#VALUE!</v>
      </c>
      <c r="Y81" s="171" t="e">
        <f ca="1">_xll.DBRW($A$1,$C81,$B81,Y$3,Y$1,Y$2,$A81)*$D81</f>
        <v>#VALUE!</v>
      </c>
      <c r="Z81" s="14" t="e">
        <f ca="1">_xll.DBRW($A$1,$C81,$B81,Z$3,Z$1,Z$2,$A81)*$D81</f>
        <v>#VALUE!</v>
      </c>
      <c r="AA81" s="14" t="e">
        <f t="shared" ca="1" si="28"/>
        <v>#VALUE!</v>
      </c>
      <c r="AB81" s="171" t="e">
        <f ca="1">_xll.DBRW($A$1,$C81,$B81,AB$3,AB$1,AB$2,$A81)*$D81</f>
        <v>#VALUE!</v>
      </c>
      <c r="AC81" s="14" t="e">
        <f ca="1">_xll.DBRW($A$1,$C81,$B81,AC$3,AC$1,AC$2,$A81)*$D81</f>
        <v>#VALUE!</v>
      </c>
      <c r="AD81" s="14" t="e">
        <f t="shared" ca="1" si="29"/>
        <v>#VALUE!</v>
      </c>
      <c r="AE81" s="171" t="e">
        <f ca="1">_xll.DBRW($A$1,$C81,$B81,AE$3,AE$1,AE$2,$A81)*$D81</f>
        <v>#VALUE!</v>
      </c>
      <c r="AF81" s="14" t="e">
        <f ca="1">_xll.DBRW($A$1,$C81,$B81,AF$3,AF$1,AF$2,$A81)*$D81</f>
        <v>#VALUE!</v>
      </c>
      <c r="AG81" s="14" t="e">
        <f t="shared" ca="1" si="30"/>
        <v>#VALUE!</v>
      </c>
      <c r="AH81" s="171" t="e">
        <f ca="1">_xll.DBRW($A$1,$C81,$B81,AH$3,AH$1,AH$2,$A81)*$D81</f>
        <v>#VALUE!</v>
      </c>
      <c r="AI81" s="14" t="e">
        <f ca="1">_xll.DBRW($A$1,$C81,$B81,AI$3,AI$1,AI$2,$A81)*$D81</f>
        <v>#VALUE!</v>
      </c>
      <c r="AJ81" s="14" t="e">
        <f t="shared" ca="1" si="31"/>
        <v>#VALUE!</v>
      </c>
      <c r="AK81" s="171" t="e">
        <f ca="1">_xll.DBRW($A$1,$C81,$B81,AK$3,AK$1,AK$2,$A81)*$D81</f>
        <v>#VALUE!</v>
      </c>
      <c r="AL81" s="14" t="e">
        <f ca="1">_xll.DBRW($A$1,$C81,$B81,AL$3,AL$1,AL$2,$A81)*$D81</f>
        <v>#VALUE!</v>
      </c>
      <c r="AM81" s="14" t="e">
        <f t="shared" ca="1" si="32"/>
        <v>#VALUE!</v>
      </c>
    </row>
    <row r="82" spans="1:39" ht="15" customHeight="1" thickBot="1">
      <c r="A82" s="170" t="s">
        <v>330</v>
      </c>
      <c r="B82" s="169" t="s">
        <v>329</v>
      </c>
      <c r="C82" s="168" t="s">
        <v>133</v>
      </c>
      <c r="D82" s="168">
        <v>1</v>
      </c>
      <c r="E82" s="167" t="str">
        <f ca="1">_xll.DBRA("mfc:skz",B82,"Group")</f>
        <v>CAPEX</v>
      </c>
      <c r="F82" s="41" t="s">
        <v>140</v>
      </c>
      <c r="G82" s="171" t="e">
        <f ca="1">_xll.DBRW($A$1,$C82,$B82,G$3,G$1,G$2,$A82)*$D82</f>
        <v>#VALUE!</v>
      </c>
      <c r="H82" s="14" t="e">
        <f ca="1">_xll.DBRW($A$1,$C82,$B82,H$3,H$1,H$2,$A82)*$D82</f>
        <v>#VALUE!</v>
      </c>
      <c r="I82" s="14" t="e">
        <f t="shared" ca="1" si="22"/>
        <v>#VALUE!</v>
      </c>
      <c r="J82" s="171" t="e">
        <f ca="1">_xll.DBRW($A$1,$C82,$B82,J$3,J$1,J$2,$A82)*$D82</f>
        <v>#VALUE!</v>
      </c>
      <c r="K82" s="14" t="e">
        <f ca="1">_xll.DBRW($A$1,$C82,$B82,K$3,K$1,K$2,$A82)*$D82</f>
        <v>#VALUE!</v>
      </c>
      <c r="L82" s="14" t="e">
        <f t="shared" ca="1" si="23"/>
        <v>#VALUE!</v>
      </c>
      <c r="M82" s="171" t="e">
        <f ca="1">_xll.DBRW($A$1,$C82,$B82,M$3,M$1,M$2,$A82)*$D82</f>
        <v>#VALUE!</v>
      </c>
      <c r="N82" s="14" t="e">
        <f ca="1">_xll.DBRW($A$1,$C82,$B82,N$3,N$1,N$2,$A82)*$D82</f>
        <v>#VALUE!</v>
      </c>
      <c r="O82" s="14" t="e">
        <f t="shared" ca="1" si="24"/>
        <v>#VALUE!</v>
      </c>
      <c r="P82" s="171" t="e">
        <f ca="1">_xll.DBRW($A$1,$C82,$B82,P$3,P$1,P$2,$A82)*$D82</f>
        <v>#VALUE!</v>
      </c>
      <c r="Q82" s="14" t="e">
        <f ca="1">_xll.DBRW($A$1,$C82,$B82,Q$3,Q$1,Q$2,$A82)*$D82</f>
        <v>#VALUE!</v>
      </c>
      <c r="R82" s="14" t="e">
        <f t="shared" ca="1" si="25"/>
        <v>#VALUE!</v>
      </c>
      <c r="S82" s="171" t="e">
        <f ca="1">_xll.DBRW($A$1,$C82,$B82,S$3,S$1,S$2,$A82)*$D82</f>
        <v>#VALUE!</v>
      </c>
      <c r="T82" s="14" t="e">
        <f ca="1">_xll.DBRW($A$1,$C82,$B82,T$3,T$1,T$2,$A82)*$D82</f>
        <v>#VALUE!</v>
      </c>
      <c r="U82" s="14" t="e">
        <f t="shared" ca="1" si="26"/>
        <v>#VALUE!</v>
      </c>
      <c r="V82" s="171" t="e">
        <f ca="1">_xll.DBRW($A$1,$C82,$B82,V$3,V$1,V$2,$A82)*$D82</f>
        <v>#VALUE!</v>
      </c>
      <c r="W82" s="14" t="e">
        <f ca="1">_xll.DBRW($A$1,$C82,$B82,W$3,W$1,W$2,$A82)*$D82</f>
        <v>#VALUE!</v>
      </c>
      <c r="X82" s="14" t="e">
        <f t="shared" ca="1" si="27"/>
        <v>#VALUE!</v>
      </c>
      <c r="Y82" s="171" t="e">
        <f ca="1">_xll.DBRW($A$1,$C82,$B82,Y$3,Y$1,Y$2,$A82)*$D82</f>
        <v>#VALUE!</v>
      </c>
      <c r="Z82" s="14" t="e">
        <f ca="1">_xll.DBRW($A$1,$C82,$B82,Z$3,Z$1,Z$2,$A82)*$D82</f>
        <v>#VALUE!</v>
      </c>
      <c r="AA82" s="14" t="e">
        <f t="shared" ca="1" si="28"/>
        <v>#VALUE!</v>
      </c>
      <c r="AB82" s="171" t="e">
        <f ca="1">_xll.DBRW($A$1,$C82,$B82,AB$3,AB$1,AB$2,$A82)*$D82</f>
        <v>#VALUE!</v>
      </c>
      <c r="AC82" s="14" t="e">
        <f ca="1">_xll.DBRW($A$1,$C82,$B82,AC$3,AC$1,AC$2,$A82)*$D82</f>
        <v>#VALUE!</v>
      </c>
      <c r="AD82" s="14" t="e">
        <f t="shared" ca="1" si="29"/>
        <v>#VALUE!</v>
      </c>
      <c r="AE82" s="171" t="e">
        <f ca="1">_xll.DBRW($A$1,$C82,$B82,AE$3,AE$1,AE$2,$A82)*$D82</f>
        <v>#VALUE!</v>
      </c>
      <c r="AF82" s="14" t="e">
        <f ca="1">_xll.DBRW($A$1,$C82,$B82,AF$3,AF$1,AF$2,$A82)*$D82</f>
        <v>#VALUE!</v>
      </c>
      <c r="AG82" s="14" t="e">
        <f t="shared" ca="1" si="30"/>
        <v>#VALUE!</v>
      </c>
      <c r="AH82" s="171" t="e">
        <f ca="1">_xll.DBRW($A$1,$C82,$B82,AH$3,AH$1,AH$2,$A82)*$D82</f>
        <v>#VALUE!</v>
      </c>
      <c r="AI82" s="14" t="e">
        <f ca="1">_xll.DBRW($A$1,$C82,$B82,AI$3,AI$1,AI$2,$A82)*$D82</f>
        <v>#VALUE!</v>
      </c>
      <c r="AJ82" s="14" t="e">
        <f t="shared" ca="1" si="31"/>
        <v>#VALUE!</v>
      </c>
      <c r="AK82" s="171" t="e">
        <f ca="1">_xll.DBRW($A$1,$C82,$B82,AK$3,AK$1,AK$2,$A82)*$D82</f>
        <v>#VALUE!</v>
      </c>
      <c r="AL82" s="14" t="e">
        <f ca="1">_xll.DBRW($A$1,$C82,$B82,AL$3,AL$1,AL$2,$A82)*$D82</f>
        <v>#VALUE!</v>
      </c>
      <c r="AM82" s="14" t="e">
        <f t="shared" ca="1" si="32"/>
        <v>#VALUE!</v>
      </c>
    </row>
    <row r="83" spans="1:39" ht="15" customHeight="1" thickTop="1" thickBot="1">
      <c r="A83" s="170"/>
      <c r="B83" s="169"/>
      <c r="C83" s="168"/>
      <c r="D83" s="168"/>
      <c r="E83" s="167"/>
      <c r="F83" s="164"/>
      <c r="G83" s="191"/>
      <c r="H83" s="24"/>
      <c r="I83" s="24"/>
      <c r="J83" s="191"/>
      <c r="K83" s="24"/>
      <c r="L83" s="24"/>
      <c r="M83" s="191"/>
      <c r="N83" s="24"/>
      <c r="O83" s="24"/>
      <c r="P83" s="191"/>
      <c r="Q83" s="24"/>
      <c r="R83" s="24"/>
      <c r="S83" s="191"/>
      <c r="T83" s="24"/>
      <c r="U83" s="24"/>
      <c r="V83" s="191"/>
      <c r="W83" s="24"/>
      <c r="X83" s="24"/>
      <c r="Y83" s="191"/>
      <c r="Z83" s="24"/>
      <c r="AA83" s="24"/>
      <c r="AB83" s="191"/>
      <c r="AC83" s="24"/>
      <c r="AD83" s="24"/>
      <c r="AE83" s="191"/>
      <c r="AF83" s="24"/>
      <c r="AG83" s="24"/>
      <c r="AH83" s="191"/>
      <c r="AI83" s="24"/>
      <c r="AJ83" s="24"/>
      <c r="AK83" s="191"/>
      <c r="AL83" s="24"/>
      <c r="AM83" s="24"/>
    </row>
    <row r="84" spans="1:39" ht="15" customHeight="1" thickTop="1">
      <c r="A84" s="170"/>
      <c r="B84" s="169"/>
      <c r="C84" s="168"/>
      <c r="D84" s="168"/>
      <c r="E84" s="167"/>
      <c r="F84" s="16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</row>
    <row r="85" spans="1:39" ht="15" customHeight="1">
      <c r="A85" s="170"/>
      <c r="B85" s="169"/>
      <c r="C85" s="168"/>
      <c r="D85" s="168"/>
      <c r="E85" s="167"/>
      <c r="F85" s="196" t="s">
        <v>179</v>
      </c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</row>
    <row r="86" spans="1:39" ht="15" customHeight="1" thickBot="1">
      <c r="A86" s="170"/>
      <c r="B86" s="169"/>
      <c r="C86" s="168"/>
      <c r="D86" s="168"/>
      <c r="E86" s="167"/>
      <c r="F86" s="26" t="s">
        <v>287</v>
      </c>
      <c r="G86" s="172"/>
      <c r="H86" s="9"/>
      <c r="I86" s="9"/>
      <c r="J86" s="172"/>
      <c r="K86" s="9"/>
      <c r="L86" s="9"/>
      <c r="M86" s="172"/>
      <c r="N86" s="9"/>
      <c r="O86" s="9"/>
      <c r="P86" s="172"/>
      <c r="Q86" s="9"/>
      <c r="R86" s="9"/>
      <c r="S86" s="172"/>
      <c r="T86" s="9"/>
      <c r="U86" s="9"/>
      <c r="V86" s="172"/>
      <c r="W86" s="9"/>
      <c r="X86" s="9"/>
      <c r="Y86" s="172"/>
      <c r="Z86" s="9"/>
      <c r="AA86" s="9"/>
      <c r="AB86" s="172"/>
      <c r="AC86" s="9"/>
      <c r="AD86" s="9"/>
      <c r="AE86" s="172"/>
      <c r="AF86" s="9"/>
      <c r="AG86" s="9"/>
      <c r="AH86" s="172"/>
      <c r="AI86" s="9"/>
      <c r="AJ86" s="9"/>
      <c r="AK86" s="172"/>
      <c r="AL86" s="9"/>
      <c r="AM86" s="9"/>
    </row>
    <row r="87" spans="1:39" ht="15" customHeight="1" thickTop="1">
      <c r="A87" s="170" t="s">
        <v>349</v>
      </c>
      <c r="B87" s="169" t="s">
        <v>334</v>
      </c>
      <c r="C87" s="168" t="s">
        <v>133</v>
      </c>
      <c r="D87" s="168">
        <v>1</v>
      </c>
      <c r="E87" s="167" t="str">
        <f ca="1">_xll.DBRA("mfc:skz",B87,"Group")</f>
        <v>EBIT</v>
      </c>
      <c r="F87" s="92" t="s">
        <v>0</v>
      </c>
      <c r="G87" s="171" t="e">
        <f ca="1">_xll.DBRW($A$1,$C87,$B87,G$3,G$1,G$2,$A87)*$D87</f>
        <v>#VALUE!</v>
      </c>
      <c r="H87" s="14" t="e">
        <f ca="1">_xll.DBRW($A$1,$C87,$B87,H$3,H$1,H$2,$A87)*$D87</f>
        <v>#VALUE!</v>
      </c>
      <c r="I87" s="14" t="e">
        <f ca="1">+G87-H87</f>
        <v>#VALUE!</v>
      </c>
      <c r="J87" s="171" t="e">
        <f ca="1">_xll.DBRW($A$1,$C87,$B87,J$3,J$1,J$2,$A87)*$D87</f>
        <v>#VALUE!</v>
      </c>
      <c r="K87" s="14" t="e">
        <f ca="1">_xll.DBRW($A$1,$C87,$B87,K$3,K$1,K$2,$A87)*$D87</f>
        <v>#VALUE!</v>
      </c>
      <c r="L87" s="14" t="e">
        <f ca="1">+J87-K87</f>
        <v>#VALUE!</v>
      </c>
      <c r="M87" s="171" t="e">
        <f ca="1">_xll.DBRW($A$1,$C87,$B87,M$3,M$1,M$2,$A87)*$D87</f>
        <v>#VALUE!</v>
      </c>
      <c r="N87" s="14" t="e">
        <f ca="1">_xll.DBRW($A$1,$C87,$B87,N$3,N$1,N$2,$A87)*$D87</f>
        <v>#VALUE!</v>
      </c>
      <c r="O87" s="14" t="e">
        <f ca="1">+M87-N87</f>
        <v>#VALUE!</v>
      </c>
      <c r="P87" s="171" t="e">
        <f ca="1">_xll.DBRW($A$1,$C87,$B87,P$3,P$1,P$2,$A87)*$D87</f>
        <v>#VALUE!</v>
      </c>
      <c r="Q87" s="14" t="e">
        <f ca="1">_xll.DBRW($A$1,$C87,$B87,Q$3,Q$1,Q$2,$A87)*$D87</f>
        <v>#VALUE!</v>
      </c>
      <c r="R87" s="14" t="e">
        <f ca="1">+P87-Q87</f>
        <v>#VALUE!</v>
      </c>
      <c r="S87" s="171" t="e">
        <f ca="1">_xll.DBRW($A$1,$C87,$B87,S$3,S$1,S$2,$A87)*$D87</f>
        <v>#VALUE!</v>
      </c>
      <c r="T87" s="14" t="e">
        <f ca="1">_xll.DBRW($A$1,$C87,$B87,T$3,T$1,T$2,$A87)*$D87</f>
        <v>#VALUE!</v>
      </c>
      <c r="U87" s="14" t="e">
        <f ca="1">+S87-T87</f>
        <v>#VALUE!</v>
      </c>
      <c r="V87" s="171" t="e">
        <f ca="1">_xll.DBRW($A$1,$C87,$B87,V$3,V$1,V$2,$A87)*$D87</f>
        <v>#VALUE!</v>
      </c>
      <c r="W87" s="14" t="e">
        <f ca="1">_xll.DBRW($A$1,$C87,$B87,W$3,W$1,W$2,$A87)*$D87</f>
        <v>#VALUE!</v>
      </c>
      <c r="X87" s="14" t="e">
        <f ca="1">+V87-W87</f>
        <v>#VALUE!</v>
      </c>
      <c r="Y87" s="171" t="e">
        <f ca="1">_xll.DBRW($A$1,$C87,$B87,Y$3,Y$1,Y$2,$A87)*$D87</f>
        <v>#VALUE!</v>
      </c>
      <c r="Z87" s="14" t="e">
        <f ca="1">_xll.DBRW($A$1,$C87,$B87,Z$3,Z$1,Z$2,$A87)*$D87</f>
        <v>#VALUE!</v>
      </c>
      <c r="AA87" s="14" t="e">
        <f ca="1">+Y87-Z87</f>
        <v>#VALUE!</v>
      </c>
      <c r="AB87" s="171" t="e">
        <f ca="1">_xll.DBRW($A$1,$C87,$B87,AB$3,AB$1,AB$2,$A87)*$D87</f>
        <v>#VALUE!</v>
      </c>
      <c r="AC87" s="14" t="e">
        <f ca="1">_xll.DBRW($A$1,$C87,$B87,AC$3,AC$1,AC$2,$A87)*$D87</f>
        <v>#VALUE!</v>
      </c>
      <c r="AD87" s="14" t="e">
        <f ca="1">+AB87-AC87</f>
        <v>#VALUE!</v>
      </c>
      <c r="AE87" s="171" t="e">
        <f ca="1">_xll.DBRW($A$1,$C87,$B87,AE$3,AE$1,AE$2,$A87)*$D87</f>
        <v>#VALUE!</v>
      </c>
      <c r="AF87" s="14" t="e">
        <f ca="1">_xll.DBRW($A$1,$C87,$B87,AF$3,AF$1,AF$2,$A87)*$D87</f>
        <v>#VALUE!</v>
      </c>
      <c r="AG87" s="14" t="e">
        <f ca="1">+AE87-AF87</f>
        <v>#VALUE!</v>
      </c>
      <c r="AH87" s="171" t="e">
        <f ca="1">_xll.DBRW($A$1,$C87,$B87,AH$3,AH$1,AH$2,$A87)*$D87</f>
        <v>#VALUE!</v>
      </c>
      <c r="AI87" s="14" t="e">
        <f ca="1">_xll.DBRW($A$1,$C87,$B87,AI$3,AI$1,AI$2,$A87)*$D87</f>
        <v>#VALUE!</v>
      </c>
      <c r="AJ87" s="14" t="e">
        <f ca="1">+AH87-AI87</f>
        <v>#VALUE!</v>
      </c>
      <c r="AK87" s="171" t="e">
        <f ca="1">_xll.DBRW($A$1,$C87,$B87,AK$3,AK$1,AK$2,$A87)*$D87</f>
        <v>#VALUE!</v>
      </c>
      <c r="AL87" s="14" t="e">
        <f ca="1">_xll.DBRW($A$1,$C87,$B87,AL$3,AL$1,AL$2,$A87)*$D87</f>
        <v>#VALUE!</v>
      </c>
      <c r="AM87" s="14" t="e">
        <f ca="1">+AK87-AL87</f>
        <v>#VALUE!</v>
      </c>
    </row>
    <row r="88" spans="1:39" ht="15" customHeight="1">
      <c r="A88" s="170" t="s">
        <v>349</v>
      </c>
      <c r="B88" s="169" t="s">
        <v>341</v>
      </c>
      <c r="C88" s="168" t="s">
        <v>133</v>
      </c>
      <c r="D88" s="168">
        <v>-1</v>
      </c>
      <c r="E88" s="167" t="str">
        <f ca="1">_xll.DBRA("mfc:skz",B88,"Group")</f>
        <v>Exeptional items &amp; accounting changes</v>
      </c>
      <c r="F88" s="32" t="s">
        <v>11</v>
      </c>
      <c r="G88" s="171" t="e">
        <f ca="1">_xll.DBRW($A$1,$C88,$B88,G$3,G$1,G$2,$A88)*$D88</f>
        <v>#VALUE!</v>
      </c>
      <c r="H88" s="14" t="e">
        <f ca="1">_xll.DBRW($A$1,$C88,$B88,H$3,H$1,H$2,$A88)*$D88</f>
        <v>#VALUE!</v>
      </c>
      <c r="I88" s="14" t="e">
        <f ca="1">+G88-H88</f>
        <v>#VALUE!</v>
      </c>
      <c r="J88" s="171" t="e">
        <f ca="1">_xll.DBRW($A$1,$C88,$B88,J$3,J$1,J$2,$A88)*$D88</f>
        <v>#VALUE!</v>
      </c>
      <c r="K88" s="14" t="e">
        <f ca="1">_xll.DBRW($A$1,$C88,$B88,K$3,K$1,K$2,$A88)*$D88</f>
        <v>#VALUE!</v>
      </c>
      <c r="L88" s="14" t="e">
        <f ca="1">+J88-K88</f>
        <v>#VALUE!</v>
      </c>
      <c r="M88" s="171" t="e">
        <f ca="1">_xll.DBRW($A$1,$C88,$B88,M$3,M$1,M$2,$A88)*$D88</f>
        <v>#VALUE!</v>
      </c>
      <c r="N88" s="14" t="e">
        <f ca="1">_xll.DBRW($A$1,$C88,$B88,N$3,N$1,N$2,$A88)*$D88</f>
        <v>#VALUE!</v>
      </c>
      <c r="O88" s="14" t="e">
        <f ca="1">+M88-N88</f>
        <v>#VALUE!</v>
      </c>
      <c r="P88" s="171" t="e">
        <f ca="1">_xll.DBRW($A$1,$C88,$B88,P$3,P$1,P$2,$A88)*$D88</f>
        <v>#VALUE!</v>
      </c>
      <c r="Q88" s="14" t="e">
        <f ca="1">_xll.DBRW($A$1,$C88,$B88,Q$3,Q$1,Q$2,$A88)*$D88</f>
        <v>#VALUE!</v>
      </c>
      <c r="R88" s="14" t="e">
        <f ca="1">+P88-Q88</f>
        <v>#VALUE!</v>
      </c>
      <c r="S88" s="171" t="e">
        <f ca="1">_xll.DBRW($A$1,$C88,$B88,S$3,S$1,S$2,$A88)*$D88</f>
        <v>#VALUE!</v>
      </c>
      <c r="T88" s="14" t="e">
        <f ca="1">_xll.DBRW($A$1,$C88,$B88,T$3,T$1,T$2,$A88)*$D88</f>
        <v>#VALUE!</v>
      </c>
      <c r="U88" s="14" t="e">
        <f ca="1">+S88-T88</f>
        <v>#VALUE!</v>
      </c>
      <c r="V88" s="171" t="e">
        <f ca="1">_xll.DBRW($A$1,$C88,$B88,V$3,V$1,V$2,$A88)*$D88</f>
        <v>#VALUE!</v>
      </c>
      <c r="W88" s="14" t="e">
        <f ca="1">_xll.DBRW($A$1,$C88,$B88,W$3,W$1,W$2,$A88)*$D88</f>
        <v>#VALUE!</v>
      </c>
      <c r="X88" s="14" t="e">
        <f ca="1">+V88-W88</f>
        <v>#VALUE!</v>
      </c>
      <c r="Y88" s="171" t="e">
        <f ca="1">_xll.DBRW($A$1,$C88,$B88,Y$3,Y$1,Y$2,$A88)*$D88</f>
        <v>#VALUE!</v>
      </c>
      <c r="Z88" s="14" t="e">
        <f ca="1">_xll.DBRW($A$1,$C88,$B88,Z$3,Z$1,Z$2,$A88)*$D88</f>
        <v>#VALUE!</v>
      </c>
      <c r="AA88" s="14" t="e">
        <f ca="1">+Y88-Z88</f>
        <v>#VALUE!</v>
      </c>
      <c r="AB88" s="171" t="e">
        <f ca="1">_xll.DBRW($A$1,$C88,$B88,AB$3,AB$1,AB$2,$A88)*$D88</f>
        <v>#VALUE!</v>
      </c>
      <c r="AC88" s="14" t="e">
        <f ca="1">_xll.DBRW($A$1,$C88,$B88,AC$3,AC$1,AC$2,$A88)*$D88</f>
        <v>#VALUE!</v>
      </c>
      <c r="AD88" s="14" t="e">
        <f ca="1">+AB88-AC88</f>
        <v>#VALUE!</v>
      </c>
      <c r="AE88" s="171" t="e">
        <f ca="1">_xll.DBRW($A$1,$C88,$B88,AE$3,AE$1,AE$2,$A88)*$D88</f>
        <v>#VALUE!</v>
      </c>
      <c r="AF88" s="14" t="e">
        <f ca="1">_xll.DBRW($A$1,$C88,$B88,AF$3,AF$1,AF$2,$A88)*$D88</f>
        <v>#VALUE!</v>
      </c>
      <c r="AG88" s="14" t="e">
        <f ca="1">+AE88-AF88</f>
        <v>#VALUE!</v>
      </c>
      <c r="AH88" s="171" t="e">
        <f ca="1">_xll.DBRW($A$1,$C88,$B88,AH$3,AH$1,AH$2,$A88)*$D88</f>
        <v>#VALUE!</v>
      </c>
      <c r="AI88" s="14" t="e">
        <f ca="1">_xll.DBRW($A$1,$C88,$B88,AI$3,AI$1,AI$2,$A88)*$D88</f>
        <v>#VALUE!</v>
      </c>
      <c r="AJ88" s="14" t="e">
        <f ca="1">+AH88-AI88</f>
        <v>#VALUE!</v>
      </c>
      <c r="AK88" s="171" t="e">
        <f ca="1">_xll.DBRW($A$1,$C88,$B88,AK$3,AK$1,AK$2,$A88)*$D88</f>
        <v>#VALUE!</v>
      </c>
      <c r="AL88" s="14" t="e">
        <f ca="1">_xll.DBRW($A$1,$C88,$B88,AL$3,AL$1,AL$2,$A88)*$D88</f>
        <v>#VALUE!</v>
      </c>
      <c r="AM88" s="14" t="e">
        <f ca="1">+AK88-AL88</f>
        <v>#VALUE!</v>
      </c>
    </row>
    <row r="89" spans="1:39" ht="15" customHeight="1">
      <c r="A89" s="170" t="s">
        <v>349</v>
      </c>
      <c r="B89" s="169" t="s">
        <v>347</v>
      </c>
      <c r="C89" s="168" t="s">
        <v>133</v>
      </c>
      <c r="D89" s="168">
        <v>1</v>
      </c>
      <c r="E89" s="167" t="str">
        <f ca="1">_xll.DBRA("mfc:skz",B89,"Group")</f>
        <v>Inventory Effect</v>
      </c>
      <c r="F89" s="34" t="s">
        <v>293</v>
      </c>
      <c r="G89" s="171" t="e">
        <f ca="1">_xll.DBRW($A$1,$C89,$B89,G$3,G$1,G$2,$A89)*$D89</f>
        <v>#VALUE!</v>
      </c>
      <c r="H89" s="14" t="e">
        <f ca="1">_xll.DBRW($A$1,$C89,$B89,H$3,H$1,H$2,$A89)*$D89</f>
        <v>#VALUE!</v>
      </c>
      <c r="I89" s="14" t="e">
        <f ca="1">+G89-H89</f>
        <v>#VALUE!</v>
      </c>
      <c r="J89" s="171" t="e">
        <f ca="1">_xll.DBRW($A$1,$C89,$B89,J$3,J$1,J$2,$A89)*$D89</f>
        <v>#VALUE!</v>
      </c>
      <c r="K89" s="14" t="e">
        <f ca="1">_xll.DBRW($A$1,$C89,$B89,K$3,K$1,K$2,$A89)*$D89</f>
        <v>#VALUE!</v>
      </c>
      <c r="L89" s="14" t="e">
        <f ca="1">+J89-K89</f>
        <v>#VALUE!</v>
      </c>
      <c r="M89" s="171" t="e">
        <f ca="1">_xll.DBRW($A$1,$C89,$B89,M$3,M$1,M$2,$A89)*$D89</f>
        <v>#VALUE!</v>
      </c>
      <c r="N89" s="14" t="e">
        <f ca="1">_xll.DBRW($A$1,$C89,$B89,N$3,N$1,N$2,$A89)*$D89</f>
        <v>#VALUE!</v>
      </c>
      <c r="O89" s="14" t="e">
        <f ca="1">+M89-N89</f>
        <v>#VALUE!</v>
      </c>
      <c r="P89" s="171" t="e">
        <f ca="1">_xll.DBRW($A$1,$C89,$B89,P$3,P$1,P$2,$A89)*$D89</f>
        <v>#VALUE!</v>
      </c>
      <c r="Q89" s="14" t="e">
        <f ca="1">_xll.DBRW($A$1,$C89,$B89,Q$3,Q$1,Q$2,$A89)*$D89</f>
        <v>#VALUE!</v>
      </c>
      <c r="R89" s="14" t="e">
        <f ca="1">+P89-Q89</f>
        <v>#VALUE!</v>
      </c>
      <c r="S89" s="171" t="e">
        <f ca="1">_xll.DBRW($A$1,$C89,$B89,S$3,S$1,S$2,$A89)*$D89</f>
        <v>#VALUE!</v>
      </c>
      <c r="T89" s="14" t="e">
        <f ca="1">_xll.DBRW($A$1,$C89,$B89,T$3,T$1,T$2,$A89)*$D89</f>
        <v>#VALUE!</v>
      </c>
      <c r="U89" s="14" t="e">
        <f ca="1">+S89-T89</f>
        <v>#VALUE!</v>
      </c>
      <c r="V89" s="171" t="e">
        <f ca="1">_xll.DBRW($A$1,$C89,$B89,V$3,V$1,V$2,$A89)*$D89</f>
        <v>#VALUE!</v>
      </c>
      <c r="W89" s="14" t="e">
        <f ca="1">_xll.DBRW($A$1,$C89,$B89,W$3,W$1,W$2,$A89)*$D89</f>
        <v>#VALUE!</v>
      </c>
      <c r="X89" s="14" t="e">
        <f ca="1">+V89-W89</f>
        <v>#VALUE!</v>
      </c>
      <c r="Y89" s="171" t="e">
        <f ca="1">_xll.DBRW($A$1,$C89,$B89,Y$3,Y$1,Y$2,$A89)*$D89</f>
        <v>#VALUE!</v>
      </c>
      <c r="Z89" s="14" t="e">
        <f ca="1">_xll.DBRW($A$1,$C89,$B89,Z$3,Z$1,Z$2,$A89)*$D89</f>
        <v>#VALUE!</v>
      </c>
      <c r="AA89" s="14" t="e">
        <f ca="1">+Y89-Z89</f>
        <v>#VALUE!</v>
      </c>
      <c r="AB89" s="171" t="e">
        <f ca="1">_xll.DBRW($A$1,$C89,$B89,AB$3,AB$1,AB$2,$A89)*$D89</f>
        <v>#VALUE!</v>
      </c>
      <c r="AC89" s="14" t="e">
        <f ca="1">_xll.DBRW($A$1,$C89,$B89,AC$3,AC$1,AC$2,$A89)*$D89</f>
        <v>#VALUE!</v>
      </c>
      <c r="AD89" s="14" t="e">
        <f ca="1">+AB89-AC89</f>
        <v>#VALUE!</v>
      </c>
      <c r="AE89" s="171" t="e">
        <f ca="1">_xll.DBRW($A$1,$C89,$B89,AE$3,AE$1,AE$2,$A89)*$D89</f>
        <v>#VALUE!</v>
      </c>
      <c r="AF89" s="14" t="e">
        <f ca="1">_xll.DBRW($A$1,$C89,$B89,AF$3,AF$1,AF$2,$A89)*$D89</f>
        <v>#VALUE!</v>
      </c>
      <c r="AG89" s="14" t="e">
        <f ca="1">+AE89-AF89</f>
        <v>#VALUE!</v>
      </c>
      <c r="AH89" s="171" t="e">
        <f ca="1">_xll.DBRW($A$1,$C89,$B89,AH$3,AH$1,AH$2,$A89)*$D89</f>
        <v>#VALUE!</v>
      </c>
      <c r="AI89" s="14" t="e">
        <f ca="1">_xll.DBRW($A$1,$C89,$B89,AI$3,AI$1,AI$2,$A89)*$D89</f>
        <v>#VALUE!</v>
      </c>
      <c r="AJ89" s="14" t="e">
        <f ca="1">+AH89-AI89</f>
        <v>#VALUE!</v>
      </c>
      <c r="AK89" s="171" t="e">
        <f ca="1">_xll.DBRW($A$1,$C89,$B89,AK$3,AK$1,AK$2,$A89)*$D89</f>
        <v>#VALUE!</v>
      </c>
      <c r="AL89" s="14" t="e">
        <f ca="1">_xll.DBRW($A$1,$C89,$B89,AL$3,AL$1,AL$2,$A89)*$D89</f>
        <v>#VALUE!</v>
      </c>
      <c r="AM89" s="14" t="e">
        <f ca="1">+AK89-AL89</f>
        <v>#VALUE!</v>
      </c>
    </row>
    <row r="90" spans="1:39" ht="15" customHeight="1" thickBot="1">
      <c r="A90" s="170" t="s">
        <v>349</v>
      </c>
      <c r="B90" s="169" t="s">
        <v>339</v>
      </c>
      <c r="C90" s="168" t="s">
        <v>133</v>
      </c>
      <c r="D90" s="168">
        <v>1</v>
      </c>
      <c r="E90" s="167" t="str">
        <f ca="1">_xll.DBRA("mfc:skz",B90,"Group")</f>
        <v>Clean EBIT CCS</v>
      </c>
      <c r="F90" s="89" t="s">
        <v>292</v>
      </c>
      <c r="G90" s="171" t="e">
        <f ca="1">_xll.DBRW($A$1,$C90,$B90,G$3,G$1,G$2,$A90)*$D90</f>
        <v>#VALUE!</v>
      </c>
      <c r="H90" s="14" t="e">
        <f ca="1">_xll.DBRW($A$1,$C90,$B90,H$3,H$1,H$2,$A90)*$D90</f>
        <v>#VALUE!</v>
      </c>
      <c r="I90" s="14" t="e">
        <f ca="1">+G90-H90</f>
        <v>#VALUE!</v>
      </c>
      <c r="J90" s="171" t="e">
        <f ca="1">_xll.DBRW($A$1,$C90,$B90,J$3,J$1,J$2,$A90)*$D90</f>
        <v>#VALUE!</v>
      </c>
      <c r="K90" s="14" t="e">
        <f ca="1">_xll.DBRW($A$1,$C90,$B90,K$3,K$1,K$2,$A90)*$D90</f>
        <v>#VALUE!</v>
      </c>
      <c r="L90" s="14" t="e">
        <f ca="1">+J90-K90</f>
        <v>#VALUE!</v>
      </c>
      <c r="M90" s="171" t="e">
        <f ca="1">_xll.DBRW($A$1,$C90,$B90,M$3,M$1,M$2,$A90)*$D90</f>
        <v>#VALUE!</v>
      </c>
      <c r="N90" s="14" t="e">
        <f ca="1">_xll.DBRW($A$1,$C90,$B90,N$3,N$1,N$2,$A90)*$D90</f>
        <v>#VALUE!</v>
      </c>
      <c r="O90" s="14" t="e">
        <f ca="1">+M90-N90</f>
        <v>#VALUE!</v>
      </c>
      <c r="P90" s="171" t="e">
        <f ca="1">_xll.DBRW($A$1,$C90,$B90,P$3,P$1,P$2,$A90)*$D90</f>
        <v>#VALUE!</v>
      </c>
      <c r="Q90" s="14" t="e">
        <f ca="1">_xll.DBRW($A$1,$C90,$B90,Q$3,Q$1,Q$2,$A90)*$D90</f>
        <v>#VALUE!</v>
      </c>
      <c r="R90" s="14" t="e">
        <f ca="1">+P90-Q90</f>
        <v>#VALUE!</v>
      </c>
      <c r="S90" s="171" t="e">
        <f ca="1">_xll.DBRW($A$1,$C90,$B90,S$3,S$1,S$2,$A90)*$D90</f>
        <v>#VALUE!</v>
      </c>
      <c r="T90" s="14" t="e">
        <f ca="1">_xll.DBRW($A$1,$C90,$B90,T$3,T$1,T$2,$A90)*$D90</f>
        <v>#VALUE!</v>
      </c>
      <c r="U90" s="14" t="e">
        <f ca="1">+S90-T90</f>
        <v>#VALUE!</v>
      </c>
      <c r="V90" s="171" t="e">
        <f ca="1">_xll.DBRW($A$1,$C90,$B90,V$3,V$1,V$2,$A90)*$D90</f>
        <v>#VALUE!</v>
      </c>
      <c r="W90" s="14" t="e">
        <f ca="1">_xll.DBRW($A$1,$C90,$B90,W$3,W$1,W$2,$A90)*$D90</f>
        <v>#VALUE!</v>
      </c>
      <c r="X90" s="14" t="e">
        <f ca="1">+V90-W90</f>
        <v>#VALUE!</v>
      </c>
      <c r="Y90" s="171" t="e">
        <f ca="1">_xll.DBRW($A$1,$C90,$B90,Y$3,Y$1,Y$2,$A90)*$D90</f>
        <v>#VALUE!</v>
      </c>
      <c r="Z90" s="14" t="e">
        <f ca="1">_xll.DBRW($A$1,$C90,$B90,Z$3,Z$1,Z$2,$A90)*$D90</f>
        <v>#VALUE!</v>
      </c>
      <c r="AA90" s="14" t="e">
        <f ca="1">+Y90-Z90</f>
        <v>#VALUE!</v>
      </c>
      <c r="AB90" s="171" t="e">
        <f ca="1">_xll.DBRW($A$1,$C90,$B90,AB$3,AB$1,AB$2,$A90)*$D90</f>
        <v>#VALUE!</v>
      </c>
      <c r="AC90" s="14" t="e">
        <f ca="1">_xll.DBRW($A$1,$C90,$B90,AC$3,AC$1,AC$2,$A90)*$D90</f>
        <v>#VALUE!</v>
      </c>
      <c r="AD90" s="14" t="e">
        <f ca="1">+AB90-AC90</f>
        <v>#VALUE!</v>
      </c>
      <c r="AE90" s="171" t="e">
        <f ca="1">_xll.DBRW($A$1,$C90,$B90,AE$3,AE$1,AE$2,$A90)*$D90</f>
        <v>#VALUE!</v>
      </c>
      <c r="AF90" s="14" t="e">
        <f ca="1">_xll.DBRW($A$1,$C90,$B90,AF$3,AF$1,AF$2,$A90)*$D90</f>
        <v>#VALUE!</v>
      </c>
      <c r="AG90" s="14" t="e">
        <f ca="1">+AE90-AF90</f>
        <v>#VALUE!</v>
      </c>
      <c r="AH90" s="171" t="e">
        <f ca="1">_xll.DBRW($A$1,$C90,$B90,AH$3,AH$1,AH$2,$A90)*$D90</f>
        <v>#VALUE!</v>
      </c>
      <c r="AI90" s="14" t="e">
        <f ca="1">_xll.DBRW($A$1,$C90,$B90,AI$3,AI$1,AI$2,$A90)*$D90</f>
        <v>#VALUE!</v>
      </c>
      <c r="AJ90" s="14" t="e">
        <f ca="1">+AH90-AI90</f>
        <v>#VALUE!</v>
      </c>
      <c r="AK90" s="171" t="e">
        <f ca="1">_xll.DBRW($A$1,$C90,$B90,AK$3,AK$1,AK$2,$A90)*$D90</f>
        <v>#VALUE!</v>
      </c>
      <c r="AL90" s="14" t="e">
        <f ca="1">_xll.DBRW($A$1,$C90,$B90,AL$3,AL$1,AL$2,$A90)*$D90</f>
        <v>#VALUE!</v>
      </c>
      <c r="AM90" s="14" t="e">
        <f ca="1">+AK90-AL90</f>
        <v>#VALUE!</v>
      </c>
    </row>
    <row r="91" spans="1:39" ht="15" customHeight="1" thickTop="1" thickBot="1">
      <c r="A91" s="170"/>
      <c r="B91" s="169"/>
      <c r="C91" s="168"/>
      <c r="D91" s="168"/>
      <c r="E91" s="167"/>
      <c r="F91" s="16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</row>
    <row r="92" spans="1:39" ht="15" customHeight="1" thickTop="1">
      <c r="A92" s="170"/>
      <c r="B92" s="169"/>
      <c r="C92" s="168"/>
      <c r="D92" s="168"/>
      <c r="E92" s="167"/>
      <c r="F92" s="199"/>
      <c r="G92" s="198"/>
      <c r="H92" s="198"/>
      <c r="I92" s="198"/>
      <c r="J92" s="198"/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  <c r="W92" s="198"/>
      <c r="X92" s="198"/>
      <c r="Y92" s="198"/>
      <c r="Z92" s="198"/>
      <c r="AA92" s="198"/>
      <c r="AB92" s="198"/>
      <c r="AC92" s="198"/>
      <c r="AD92" s="198"/>
      <c r="AE92" s="198"/>
      <c r="AF92" s="198"/>
      <c r="AG92" s="198"/>
      <c r="AH92" s="198"/>
      <c r="AI92" s="198"/>
      <c r="AJ92" s="198"/>
      <c r="AK92" s="198"/>
      <c r="AL92" s="198"/>
      <c r="AM92" s="198"/>
    </row>
    <row r="93" spans="1:39" ht="15" customHeight="1">
      <c r="A93" s="170"/>
      <c r="B93" s="169"/>
      <c r="C93" s="168"/>
      <c r="D93" s="168"/>
      <c r="E93" s="167"/>
      <c r="F93" s="196" t="s">
        <v>195</v>
      </c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2"/>
      <c r="AH93" s="22"/>
      <c r="AI93" s="22"/>
      <c r="AJ93" s="22"/>
      <c r="AK93" s="22"/>
      <c r="AL93" s="22"/>
      <c r="AM93" s="22"/>
    </row>
    <row r="94" spans="1:39" ht="15" customHeight="1" thickBot="1">
      <c r="A94" s="170"/>
      <c r="B94" s="169"/>
      <c r="C94" s="168"/>
      <c r="D94" s="168"/>
      <c r="E94" s="167"/>
      <c r="F94" s="26" t="s">
        <v>287</v>
      </c>
      <c r="G94" s="172"/>
      <c r="H94" s="9"/>
      <c r="I94" s="9"/>
      <c r="J94" s="172"/>
      <c r="K94" s="9"/>
      <c r="L94" s="9"/>
      <c r="M94" s="172"/>
      <c r="N94" s="9"/>
      <c r="O94" s="9"/>
      <c r="P94" s="172"/>
      <c r="Q94" s="9"/>
      <c r="R94" s="9"/>
      <c r="S94" s="172"/>
      <c r="T94" s="9"/>
      <c r="U94" s="9"/>
      <c r="V94" s="172"/>
      <c r="W94" s="9"/>
      <c r="X94" s="9"/>
      <c r="Y94" s="172"/>
      <c r="Z94" s="9"/>
      <c r="AA94" s="9"/>
      <c r="AB94" s="172"/>
      <c r="AC94" s="9"/>
      <c r="AD94" s="9"/>
      <c r="AE94" s="172"/>
      <c r="AF94" s="9"/>
      <c r="AG94" s="9"/>
      <c r="AH94" s="172"/>
      <c r="AI94" s="9"/>
      <c r="AJ94" s="9"/>
      <c r="AK94" s="172"/>
      <c r="AL94" s="9"/>
      <c r="AM94" s="9"/>
    </row>
    <row r="95" spans="1:39" ht="15" customHeight="1" thickTop="1">
      <c r="A95" s="170" t="s">
        <v>348</v>
      </c>
      <c r="B95" s="169" t="s">
        <v>334</v>
      </c>
      <c r="C95" s="168" t="s">
        <v>133</v>
      </c>
      <c r="D95" s="168">
        <v>1</v>
      </c>
      <c r="E95" s="167" t="str">
        <f ca="1">_xll.DBRA("mfc:skz",B95,"Group")</f>
        <v>EBIT</v>
      </c>
      <c r="F95" s="195" t="s">
        <v>0</v>
      </c>
      <c r="G95" s="171" t="e">
        <f ca="1">_xll.DBRW($A$1,$C95,$B95,G$3,G$1,G$2,$A95)*$D95</f>
        <v>#VALUE!</v>
      </c>
      <c r="H95" s="15" t="e">
        <f ca="1">_xll.DBRW($A$1,$C95,$B95,H$3,H$1,H$2,$A95)*$D95</f>
        <v>#VALUE!</v>
      </c>
      <c r="I95" s="15" t="e">
        <f ca="1">+G95-H95</f>
        <v>#VALUE!</v>
      </c>
      <c r="J95" s="171" t="e">
        <f ca="1">_xll.DBRW($A$1,$C95,$B95,J$3,J$1,J$2,$A95)*$D95</f>
        <v>#VALUE!</v>
      </c>
      <c r="K95" s="15" t="e">
        <f ca="1">_xll.DBRW($A$1,$C95,$B95,K$3,K$1,K$2,$A95)*$D95</f>
        <v>#VALUE!</v>
      </c>
      <c r="L95" s="15" t="e">
        <f ca="1">+J95-K95</f>
        <v>#VALUE!</v>
      </c>
      <c r="M95" s="171" t="e">
        <f ca="1">_xll.DBRW($A$1,$C95,$B95,M$3,M$1,M$2,$A95)*$D95</f>
        <v>#VALUE!</v>
      </c>
      <c r="N95" s="15" t="e">
        <f ca="1">_xll.DBRW($A$1,$C95,$B95,N$3,N$1,N$2,$A95)*$D95</f>
        <v>#VALUE!</v>
      </c>
      <c r="O95" s="15" t="e">
        <f ca="1">+M95-N95</f>
        <v>#VALUE!</v>
      </c>
      <c r="P95" s="171" t="e">
        <f ca="1">_xll.DBRW($A$1,$C95,$B95,P$3,P$1,P$2,$A95)*$D95</f>
        <v>#VALUE!</v>
      </c>
      <c r="Q95" s="15" t="e">
        <f ca="1">_xll.DBRW($A$1,$C95,$B95,Q$3,Q$1,Q$2,$A95)*$D95</f>
        <v>#VALUE!</v>
      </c>
      <c r="R95" s="15" t="e">
        <f ca="1">+P95-Q95</f>
        <v>#VALUE!</v>
      </c>
      <c r="S95" s="171" t="e">
        <f ca="1">_xll.DBRW($A$1,$C95,$B95,S$3,S$1,S$2,$A95)*$D95</f>
        <v>#VALUE!</v>
      </c>
      <c r="T95" s="15" t="e">
        <f ca="1">_xll.DBRW($A$1,$C95,$B95,T$3,T$1,T$2,$A95)*$D95</f>
        <v>#VALUE!</v>
      </c>
      <c r="U95" s="15" t="e">
        <f ca="1">+S95-T95</f>
        <v>#VALUE!</v>
      </c>
      <c r="V95" s="171" t="e">
        <f ca="1">_xll.DBRW($A$1,$C95,$B95,V$3,V$1,V$2,$A95)*$D95</f>
        <v>#VALUE!</v>
      </c>
      <c r="W95" s="15" t="e">
        <f ca="1">_xll.DBRW($A$1,$C95,$B95,W$3,W$1,W$2,$A95)*$D95</f>
        <v>#VALUE!</v>
      </c>
      <c r="X95" s="15" t="e">
        <f ca="1">+V95-W95</f>
        <v>#VALUE!</v>
      </c>
      <c r="Y95" s="171" t="e">
        <f ca="1">_xll.DBRW($A$1,$C95,$B95,Y$3,Y$1,Y$2,$A95)*$D95</f>
        <v>#VALUE!</v>
      </c>
      <c r="Z95" s="15" t="e">
        <f ca="1">_xll.DBRW($A$1,$C95,$B95,Z$3,Z$1,Z$2,$A95)*$D95</f>
        <v>#VALUE!</v>
      </c>
      <c r="AA95" s="15" t="e">
        <f ca="1">+Y95-Z95</f>
        <v>#VALUE!</v>
      </c>
      <c r="AB95" s="171" t="e">
        <f ca="1">_xll.DBRW($A$1,$C95,$B95,AB$3,AB$1,AB$2,$A95)*$D95</f>
        <v>#VALUE!</v>
      </c>
      <c r="AC95" s="15" t="e">
        <f ca="1">_xll.DBRW($A$1,$C95,$B95,AC$3,AC$1,AC$2,$A95)*$D95</f>
        <v>#VALUE!</v>
      </c>
      <c r="AD95" s="15" t="e">
        <f ca="1">+AB95-AC95</f>
        <v>#VALUE!</v>
      </c>
      <c r="AE95" s="171" t="e">
        <f ca="1">_xll.DBRW($A$1,$C95,$B95,AE$3,AE$1,AE$2,$A95)*$D95</f>
        <v>#VALUE!</v>
      </c>
      <c r="AF95" s="15" t="e">
        <f ca="1">_xll.DBRW($A$1,$C95,$B95,AF$3,AF$1,AF$2,$A95)*$D95</f>
        <v>#VALUE!</v>
      </c>
      <c r="AG95" s="15" t="e">
        <f ca="1">+AE95-AF95</f>
        <v>#VALUE!</v>
      </c>
      <c r="AH95" s="171" t="e">
        <f ca="1">_xll.DBRW($A$1,$C95,$B95,AH$3,AH$1,AH$2,$A95)*$D95</f>
        <v>#VALUE!</v>
      </c>
      <c r="AI95" s="15" t="e">
        <f ca="1">_xll.DBRW($A$1,$C95,$B95,AI$3,AI$1,AI$2,$A95)*$D95</f>
        <v>#VALUE!</v>
      </c>
      <c r="AJ95" s="15" t="e">
        <f ca="1">+AH95-AI95</f>
        <v>#VALUE!</v>
      </c>
      <c r="AK95" s="171" t="e">
        <f ca="1">_xll.DBRW($A$1,$C95,$B95,AK$3,AK$1,AK$2,$A95)*$D95</f>
        <v>#VALUE!</v>
      </c>
      <c r="AL95" s="15" t="e">
        <f ca="1">_xll.DBRW($A$1,$C95,$B95,AL$3,AL$1,AL$2,$A95)*$D95</f>
        <v>#VALUE!</v>
      </c>
      <c r="AM95" s="15" t="e">
        <f ca="1">+AK95-AL95</f>
        <v>#VALUE!</v>
      </c>
    </row>
    <row r="96" spans="1:39" ht="15" customHeight="1">
      <c r="A96" s="170" t="s">
        <v>348</v>
      </c>
      <c r="B96" s="169" t="s">
        <v>341</v>
      </c>
      <c r="C96" s="168" t="s">
        <v>133</v>
      </c>
      <c r="D96" s="168">
        <v>-1</v>
      </c>
      <c r="E96" s="167" t="str">
        <f ca="1">_xll.DBRA("mfc:skz",B96,"Group")</f>
        <v>Exeptional items &amp; accounting changes</v>
      </c>
      <c r="F96" s="187" t="s">
        <v>11</v>
      </c>
      <c r="G96" s="193" t="e">
        <f ca="1">_xll.DBRW($A$1,$C96,$B96,G$3,G$1,G$2,$A96)*$D96</f>
        <v>#VALUE!</v>
      </c>
      <c r="H96" s="15" t="e">
        <f ca="1">_xll.DBRW($A$1,$C96,$B96,H$3,H$1,H$2,$A96)*$D96</f>
        <v>#VALUE!</v>
      </c>
      <c r="I96" s="15" t="e">
        <f ca="1">+G96-H96</f>
        <v>#VALUE!</v>
      </c>
      <c r="J96" s="193" t="e">
        <f ca="1">_xll.DBRW($A$1,$C96,$B96,J$3,J$1,J$2,$A96)*$D96</f>
        <v>#VALUE!</v>
      </c>
      <c r="K96" s="15" t="e">
        <f ca="1">_xll.DBRW($A$1,$C96,$B96,K$3,K$1,K$2,$A96)*$D96</f>
        <v>#VALUE!</v>
      </c>
      <c r="L96" s="15" t="e">
        <f ca="1">+J96-K96</f>
        <v>#VALUE!</v>
      </c>
      <c r="M96" s="193" t="e">
        <f ca="1">_xll.DBRW($A$1,$C96,$B96,M$3,M$1,M$2,$A96)*$D96</f>
        <v>#VALUE!</v>
      </c>
      <c r="N96" s="15" t="e">
        <f ca="1">_xll.DBRW($A$1,$C96,$B96,N$3,N$1,N$2,$A96)*$D96</f>
        <v>#VALUE!</v>
      </c>
      <c r="O96" s="15" t="e">
        <f ca="1">+M96-N96</f>
        <v>#VALUE!</v>
      </c>
      <c r="P96" s="193" t="e">
        <f ca="1">_xll.DBRW($A$1,$C96,$B96,P$3,P$1,P$2,$A96)*$D96</f>
        <v>#VALUE!</v>
      </c>
      <c r="Q96" s="15" t="e">
        <f ca="1">_xll.DBRW($A$1,$C96,$B96,Q$3,Q$1,Q$2,$A96)*$D96</f>
        <v>#VALUE!</v>
      </c>
      <c r="R96" s="15" t="e">
        <f ca="1">+P96-Q96</f>
        <v>#VALUE!</v>
      </c>
      <c r="S96" s="193" t="e">
        <f ca="1">_xll.DBRW($A$1,$C96,$B96,S$3,S$1,S$2,$A96)*$D96</f>
        <v>#VALUE!</v>
      </c>
      <c r="T96" s="15" t="e">
        <f ca="1">_xll.DBRW($A$1,$C96,$B96,T$3,T$1,T$2,$A96)*$D96</f>
        <v>#VALUE!</v>
      </c>
      <c r="U96" s="15" t="e">
        <f ca="1">+S96-T96</f>
        <v>#VALUE!</v>
      </c>
      <c r="V96" s="193" t="e">
        <f ca="1">_xll.DBRW($A$1,$C96,$B96,V$3,V$1,V$2,$A96)*$D96</f>
        <v>#VALUE!</v>
      </c>
      <c r="W96" s="15" t="e">
        <f ca="1">_xll.DBRW($A$1,$C96,$B96,W$3,W$1,W$2,$A96)*$D96</f>
        <v>#VALUE!</v>
      </c>
      <c r="X96" s="15" t="e">
        <f ca="1">+V96-W96</f>
        <v>#VALUE!</v>
      </c>
      <c r="Y96" s="193" t="e">
        <f ca="1">_xll.DBRW($A$1,$C96,$B96,Y$3,Y$1,Y$2,$A96)*$D96</f>
        <v>#VALUE!</v>
      </c>
      <c r="Z96" s="15" t="e">
        <f ca="1">_xll.DBRW($A$1,$C96,$B96,Z$3,Z$1,Z$2,$A96)*$D96</f>
        <v>#VALUE!</v>
      </c>
      <c r="AA96" s="15" t="e">
        <f ca="1">+Y96-Z96</f>
        <v>#VALUE!</v>
      </c>
      <c r="AB96" s="193" t="e">
        <f ca="1">_xll.DBRW($A$1,$C96,$B96,AB$3,AB$1,AB$2,$A96)*$D96</f>
        <v>#VALUE!</v>
      </c>
      <c r="AC96" s="15" t="e">
        <f ca="1">_xll.DBRW($A$1,$C96,$B96,AC$3,AC$1,AC$2,$A96)*$D96</f>
        <v>#VALUE!</v>
      </c>
      <c r="AD96" s="15" t="e">
        <f ca="1">+AB96-AC96</f>
        <v>#VALUE!</v>
      </c>
      <c r="AE96" s="193" t="e">
        <f ca="1">_xll.DBRW($A$1,$C96,$B96,AE$3,AE$1,AE$2,$A96)*$D96</f>
        <v>#VALUE!</v>
      </c>
      <c r="AF96" s="15" t="e">
        <f ca="1">_xll.DBRW($A$1,$C96,$B96,AF$3,AF$1,AF$2,$A96)*$D96</f>
        <v>#VALUE!</v>
      </c>
      <c r="AG96" s="15" t="e">
        <f ca="1">+AE96-AF96</f>
        <v>#VALUE!</v>
      </c>
      <c r="AH96" s="193" t="e">
        <f ca="1">_xll.DBRW($A$1,$C96,$B96,AH$3,AH$1,AH$2,$A96)*$D96</f>
        <v>#VALUE!</v>
      </c>
      <c r="AI96" s="15" t="e">
        <f ca="1">_xll.DBRW($A$1,$C96,$B96,AI$3,AI$1,AI$2,$A96)*$D96</f>
        <v>#VALUE!</v>
      </c>
      <c r="AJ96" s="15" t="e">
        <f ca="1">+AH96-AI96</f>
        <v>#VALUE!</v>
      </c>
      <c r="AK96" s="193" t="e">
        <f ca="1">_xll.DBRW($A$1,$C96,$B96,AK$3,AK$1,AK$2,$A96)*$D96</f>
        <v>#VALUE!</v>
      </c>
      <c r="AL96" s="15" t="e">
        <f ca="1">_xll.DBRW($A$1,$C96,$B96,AL$3,AL$1,AL$2,$A96)*$D96</f>
        <v>#VALUE!</v>
      </c>
      <c r="AM96" s="15" t="e">
        <f ca="1">+AK96-AL96</f>
        <v>#VALUE!</v>
      </c>
    </row>
    <row r="97" spans="1:39" ht="15" customHeight="1">
      <c r="A97" s="170" t="s">
        <v>348</v>
      </c>
      <c r="B97" s="169" t="s">
        <v>347</v>
      </c>
      <c r="C97" s="168" t="s">
        <v>133</v>
      </c>
      <c r="D97" s="168">
        <v>1</v>
      </c>
      <c r="E97" s="167" t="str">
        <f ca="1">_xll.DBRA("mfc:skz",B97,"Group")</f>
        <v>Inventory Effect</v>
      </c>
      <c r="F97" s="34" t="s">
        <v>293</v>
      </c>
      <c r="G97" s="171" t="e">
        <f ca="1">_xll.DBRW($A$1,$C97,$B97,G$3,G$1,G$2,$A97)*$D97</f>
        <v>#VALUE!</v>
      </c>
      <c r="H97" s="15" t="e">
        <f ca="1">_xll.DBRW($A$1,$C97,$B97,H$3,H$1,H$2,$A97)*$D97</f>
        <v>#VALUE!</v>
      </c>
      <c r="I97" s="15" t="e">
        <f ca="1">+G97-H97</f>
        <v>#VALUE!</v>
      </c>
      <c r="J97" s="171" t="e">
        <f ca="1">_xll.DBRW($A$1,$C97,$B97,J$3,J$1,J$2,$A97)*$D97</f>
        <v>#VALUE!</v>
      </c>
      <c r="K97" s="15" t="e">
        <f ca="1">_xll.DBRW($A$1,$C97,$B97,K$3,K$1,K$2,$A97)*$D97</f>
        <v>#VALUE!</v>
      </c>
      <c r="L97" s="15" t="e">
        <f ca="1">+J97-K97</f>
        <v>#VALUE!</v>
      </c>
      <c r="M97" s="171" t="e">
        <f ca="1">_xll.DBRW($A$1,$C97,$B97,M$3,M$1,M$2,$A97)*$D97</f>
        <v>#VALUE!</v>
      </c>
      <c r="N97" s="15" t="e">
        <f ca="1">_xll.DBRW($A$1,$C97,$B97,N$3,N$1,N$2,$A97)*$D97</f>
        <v>#VALUE!</v>
      </c>
      <c r="O97" s="15" t="e">
        <f ca="1">+M97-N97</f>
        <v>#VALUE!</v>
      </c>
      <c r="P97" s="171" t="e">
        <f ca="1">_xll.DBRW($A$1,$C97,$B97,P$3,P$1,P$2,$A97)*$D97</f>
        <v>#VALUE!</v>
      </c>
      <c r="Q97" s="15" t="e">
        <f ca="1">_xll.DBRW($A$1,$C97,$B97,Q$3,Q$1,Q$2,$A97)*$D97</f>
        <v>#VALUE!</v>
      </c>
      <c r="R97" s="15" t="e">
        <f ca="1">+P97-Q97</f>
        <v>#VALUE!</v>
      </c>
      <c r="S97" s="171" t="e">
        <f ca="1">_xll.DBRW($A$1,$C97,$B97,S$3,S$1,S$2,$A97)*$D97</f>
        <v>#VALUE!</v>
      </c>
      <c r="T97" s="15" t="e">
        <f ca="1">_xll.DBRW($A$1,$C97,$B97,T$3,T$1,T$2,$A97)*$D97</f>
        <v>#VALUE!</v>
      </c>
      <c r="U97" s="15" t="e">
        <f ca="1">+S97-T97</f>
        <v>#VALUE!</v>
      </c>
      <c r="V97" s="171" t="e">
        <f ca="1">_xll.DBRW($A$1,$C97,$B97,V$3,V$1,V$2,$A97)*$D97</f>
        <v>#VALUE!</v>
      </c>
      <c r="W97" s="15" t="e">
        <f ca="1">_xll.DBRW($A$1,$C97,$B97,W$3,W$1,W$2,$A97)*$D97</f>
        <v>#VALUE!</v>
      </c>
      <c r="X97" s="15" t="e">
        <f ca="1">+V97-W97</f>
        <v>#VALUE!</v>
      </c>
      <c r="Y97" s="171" t="e">
        <f ca="1">_xll.DBRW($A$1,$C97,$B97,Y$3,Y$1,Y$2,$A97)*$D97</f>
        <v>#VALUE!</v>
      </c>
      <c r="Z97" s="15" t="e">
        <f ca="1">_xll.DBRW($A$1,$C97,$B97,Z$3,Z$1,Z$2,$A97)*$D97</f>
        <v>#VALUE!</v>
      </c>
      <c r="AA97" s="15" t="e">
        <f ca="1">+Y97-Z97</f>
        <v>#VALUE!</v>
      </c>
      <c r="AB97" s="171" t="e">
        <f ca="1">_xll.DBRW($A$1,$C97,$B97,AB$3,AB$1,AB$2,$A97)*$D97</f>
        <v>#VALUE!</v>
      </c>
      <c r="AC97" s="15" t="e">
        <f ca="1">_xll.DBRW($A$1,$C97,$B97,AC$3,AC$1,AC$2,$A97)*$D97</f>
        <v>#VALUE!</v>
      </c>
      <c r="AD97" s="15" t="e">
        <f ca="1">+AB97-AC97</f>
        <v>#VALUE!</v>
      </c>
      <c r="AE97" s="171" t="e">
        <f ca="1">_xll.DBRW($A$1,$C97,$B97,AE$3,AE$1,AE$2,$A97)*$D97</f>
        <v>#VALUE!</v>
      </c>
      <c r="AF97" s="15" t="e">
        <f ca="1">_xll.DBRW($A$1,$C97,$B97,AF$3,AF$1,AF$2,$A97)*$D97</f>
        <v>#VALUE!</v>
      </c>
      <c r="AG97" s="15" t="e">
        <f ca="1">+AE97-AF97</f>
        <v>#VALUE!</v>
      </c>
      <c r="AH97" s="171" t="e">
        <f ca="1">_xll.DBRW($A$1,$C97,$B97,AH$3,AH$1,AH$2,$A97)*$D97</f>
        <v>#VALUE!</v>
      </c>
      <c r="AI97" s="15" t="e">
        <f ca="1">_xll.DBRW($A$1,$C97,$B97,AI$3,AI$1,AI$2,$A97)*$D97</f>
        <v>#VALUE!</v>
      </c>
      <c r="AJ97" s="15" t="e">
        <f ca="1">+AH97-AI97</f>
        <v>#VALUE!</v>
      </c>
      <c r="AK97" s="171" t="e">
        <f ca="1">_xll.DBRW($A$1,$C97,$B97,AK$3,AK$1,AK$2,$A97)*$D97</f>
        <v>#VALUE!</v>
      </c>
      <c r="AL97" s="15" t="e">
        <f ca="1">_xll.DBRW($A$1,$C97,$B97,AL$3,AL$1,AL$2,$A97)*$D97</f>
        <v>#VALUE!</v>
      </c>
      <c r="AM97" s="15" t="e">
        <f ca="1">+AK97-AL97</f>
        <v>#VALUE!</v>
      </c>
    </row>
    <row r="98" spans="1:39" ht="15" customHeight="1" thickBot="1">
      <c r="A98" s="170" t="s">
        <v>348</v>
      </c>
      <c r="B98" s="169" t="s">
        <v>339</v>
      </c>
      <c r="C98" s="168" t="s">
        <v>133</v>
      </c>
      <c r="D98" s="168">
        <v>1</v>
      </c>
      <c r="E98" s="167" t="str">
        <f ca="1">_xll.DBRA("mfc:skz",B98,"Group")</f>
        <v>Clean EBIT CCS</v>
      </c>
      <c r="F98" s="43" t="s">
        <v>292</v>
      </c>
      <c r="G98" s="171" t="e">
        <f ca="1">_xll.DBRW($A$1,$C98,$B98,G$3,G$1,G$2,$A98)*$D98</f>
        <v>#VALUE!</v>
      </c>
      <c r="H98" s="15" t="e">
        <f ca="1">_xll.DBRW($A$1,$C98,$B98,H$3,H$1,H$2,$A98)*$D98</f>
        <v>#VALUE!</v>
      </c>
      <c r="I98" s="15" t="e">
        <f ca="1">+G98-H98</f>
        <v>#VALUE!</v>
      </c>
      <c r="J98" s="171" t="e">
        <f ca="1">_xll.DBRW($A$1,$C98,$B98,J$3,J$1,J$2,$A98)*$D98</f>
        <v>#VALUE!</v>
      </c>
      <c r="K98" s="15" t="e">
        <f ca="1">_xll.DBRW($A$1,$C98,$B98,K$3,K$1,K$2,$A98)*$D98</f>
        <v>#VALUE!</v>
      </c>
      <c r="L98" s="15" t="e">
        <f ca="1">+J98-K98</f>
        <v>#VALUE!</v>
      </c>
      <c r="M98" s="171" t="e">
        <f ca="1">_xll.DBRW($A$1,$C98,$B98,M$3,M$1,M$2,$A98)*$D98</f>
        <v>#VALUE!</v>
      </c>
      <c r="N98" s="15" t="e">
        <f ca="1">_xll.DBRW($A$1,$C98,$B98,N$3,N$1,N$2,$A98)*$D98</f>
        <v>#VALUE!</v>
      </c>
      <c r="O98" s="15" t="e">
        <f ca="1">+M98-N98</f>
        <v>#VALUE!</v>
      </c>
      <c r="P98" s="171" t="e">
        <f ca="1">_xll.DBRW($A$1,$C98,$B98,P$3,P$1,P$2,$A98)*$D98</f>
        <v>#VALUE!</v>
      </c>
      <c r="Q98" s="15" t="e">
        <f ca="1">_xll.DBRW($A$1,$C98,$B98,Q$3,Q$1,Q$2,$A98)*$D98</f>
        <v>#VALUE!</v>
      </c>
      <c r="R98" s="15" t="e">
        <f ca="1">+P98-Q98</f>
        <v>#VALUE!</v>
      </c>
      <c r="S98" s="171" t="e">
        <f ca="1">_xll.DBRW($A$1,$C98,$B98,S$3,S$1,S$2,$A98)*$D98</f>
        <v>#VALUE!</v>
      </c>
      <c r="T98" s="15" t="e">
        <f ca="1">_xll.DBRW($A$1,$C98,$B98,T$3,T$1,T$2,$A98)*$D98</f>
        <v>#VALUE!</v>
      </c>
      <c r="U98" s="15" t="e">
        <f ca="1">+S98-T98</f>
        <v>#VALUE!</v>
      </c>
      <c r="V98" s="171" t="e">
        <f ca="1">_xll.DBRW($A$1,$C98,$B98,V$3,V$1,V$2,$A98)*$D98</f>
        <v>#VALUE!</v>
      </c>
      <c r="W98" s="15" t="e">
        <f ca="1">_xll.DBRW($A$1,$C98,$B98,W$3,W$1,W$2,$A98)*$D98</f>
        <v>#VALUE!</v>
      </c>
      <c r="X98" s="15" t="e">
        <f ca="1">+V98-W98</f>
        <v>#VALUE!</v>
      </c>
      <c r="Y98" s="171" t="e">
        <f ca="1">_xll.DBRW($A$1,$C98,$B98,Y$3,Y$1,Y$2,$A98)*$D98</f>
        <v>#VALUE!</v>
      </c>
      <c r="Z98" s="15" t="e">
        <f ca="1">_xll.DBRW($A$1,$C98,$B98,Z$3,Z$1,Z$2,$A98)*$D98</f>
        <v>#VALUE!</v>
      </c>
      <c r="AA98" s="15" t="e">
        <f ca="1">+Y98-Z98</f>
        <v>#VALUE!</v>
      </c>
      <c r="AB98" s="171" t="e">
        <f ca="1">_xll.DBRW($A$1,$C98,$B98,AB$3,AB$1,AB$2,$A98)*$D98</f>
        <v>#VALUE!</v>
      </c>
      <c r="AC98" s="15" t="e">
        <f ca="1">_xll.DBRW($A$1,$C98,$B98,AC$3,AC$1,AC$2,$A98)*$D98</f>
        <v>#VALUE!</v>
      </c>
      <c r="AD98" s="15" t="e">
        <f ca="1">+AB98-AC98</f>
        <v>#VALUE!</v>
      </c>
      <c r="AE98" s="171" t="e">
        <f ca="1">_xll.DBRW($A$1,$C98,$B98,AE$3,AE$1,AE$2,$A98)*$D98</f>
        <v>#VALUE!</v>
      </c>
      <c r="AF98" s="15" t="e">
        <f ca="1">_xll.DBRW($A$1,$C98,$B98,AF$3,AF$1,AF$2,$A98)*$D98</f>
        <v>#VALUE!</v>
      </c>
      <c r="AG98" s="15" t="e">
        <f ca="1">+AE98-AF98</f>
        <v>#VALUE!</v>
      </c>
      <c r="AH98" s="171" t="e">
        <f ca="1">_xll.DBRW($A$1,$C98,$B98,AH$3,AH$1,AH$2,$A98)*$D98</f>
        <v>#VALUE!</v>
      </c>
      <c r="AI98" s="15" t="e">
        <f ca="1">_xll.DBRW($A$1,$C98,$B98,AI$3,AI$1,AI$2,$A98)*$D98</f>
        <v>#VALUE!</v>
      </c>
      <c r="AJ98" s="15" t="e">
        <f ca="1">+AH98-AI98</f>
        <v>#VALUE!</v>
      </c>
      <c r="AK98" s="171" t="e">
        <f ca="1">_xll.DBRW($A$1,$C98,$B98,AK$3,AK$1,AK$2,$A98)*$D98</f>
        <v>#VALUE!</v>
      </c>
      <c r="AL98" s="15" t="e">
        <f ca="1">_xll.DBRW($A$1,$C98,$B98,AL$3,AL$1,AL$2,$A98)*$D98</f>
        <v>#VALUE!</v>
      </c>
      <c r="AM98" s="15" t="e">
        <f ca="1">+AK98-AL98</f>
        <v>#VALUE!</v>
      </c>
    </row>
    <row r="99" spans="1:39" ht="15" customHeight="1" thickTop="1" thickBot="1">
      <c r="A99" s="170"/>
      <c r="B99" s="169"/>
      <c r="C99" s="168"/>
      <c r="D99" s="168"/>
      <c r="E99" s="167"/>
      <c r="F99" s="164"/>
      <c r="G99" s="191"/>
      <c r="H99" s="24"/>
      <c r="I99" s="24"/>
      <c r="J99" s="191"/>
      <c r="K99" s="24"/>
      <c r="L99" s="24"/>
      <c r="M99" s="191"/>
      <c r="N99" s="24"/>
      <c r="O99" s="24"/>
      <c r="P99" s="191"/>
      <c r="Q99" s="24"/>
      <c r="R99" s="24"/>
      <c r="S99" s="191"/>
      <c r="T99" s="24"/>
      <c r="U99" s="24"/>
      <c r="V99" s="191"/>
      <c r="W99" s="24"/>
      <c r="X99" s="24"/>
      <c r="Y99" s="191"/>
      <c r="Z99" s="24"/>
      <c r="AA99" s="24"/>
      <c r="AB99" s="191"/>
      <c r="AC99" s="24"/>
      <c r="AD99" s="24"/>
      <c r="AE99" s="191"/>
      <c r="AF99" s="24"/>
      <c r="AG99" s="24"/>
      <c r="AH99" s="191"/>
      <c r="AI99" s="24"/>
      <c r="AJ99" s="24"/>
      <c r="AK99" s="191"/>
      <c r="AL99" s="24"/>
      <c r="AM99" s="24"/>
    </row>
    <row r="100" spans="1:39" ht="15" customHeight="1" thickTop="1">
      <c r="A100" s="170"/>
      <c r="B100" s="169"/>
      <c r="C100" s="168"/>
      <c r="D100" s="168"/>
      <c r="E100" s="167"/>
      <c r="F100" s="199"/>
      <c r="G100" s="198"/>
      <c r="H100" s="198"/>
      <c r="I100" s="198"/>
      <c r="J100" s="198"/>
      <c r="K100" s="198"/>
      <c r="L100" s="198"/>
      <c r="M100" s="198"/>
      <c r="N100" s="198"/>
      <c r="O100" s="198"/>
      <c r="P100" s="198"/>
      <c r="Q100" s="198"/>
      <c r="R100" s="198"/>
      <c r="S100" s="198"/>
      <c r="T100" s="198"/>
      <c r="U100" s="198"/>
      <c r="V100" s="198"/>
      <c r="W100" s="198"/>
      <c r="X100" s="198"/>
      <c r="Y100" s="198"/>
      <c r="Z100" s="198"/>
      <c r="AA100" s="198"/>
      <c r="AB100" s="198"/>
      <c r="AC100" s="198"/>
      <c r="AD100" s="198"/>
      <c r="AE100" s="198"/>
      <c r="AF100" s="198"/>
      <c r="AG100" s="198"/>
      <c r="AH100" s="198"/>
      <c r="AI100" s="198"/>
      <c r="AJ100" s="198"/>
      <c r="AK100" s="198"/>
      <c r="AL100" s="198"/>
      <c r="AM100" s="198"/>
    </row>
    <row r="101" spans="1:39" ht="15" customHeight="1">
      <c r="A101" s="170"/>
      <c r="B101" s="169"/>
      <c r="C101" s="168"/>
      <c r="D101" s="168"/>
      <c r="E101" s="167"/>
      <c r="F101" s="197" t="s">
        <v>196</v>
      </c>
      <c r="G101" s="197"/>
      <c r="H101" s="197"/>
      <c r="I101" s="197"/>
      <c r="J101" s="197"/>
      <c r="K101" s="197"/>
      <c r="L101" s="197"/>
      <c r="M101" s="197"/>
      <c r="N101" s="197"/>
      <c r="O101" s="197"/>
      <c r="P101" s="197"/>
      <c r="Q101" s="197"/>
      <c r="R101" s="197"/>
      <c r="S101" s="197"/>
      <c r="T101" s="197"/>
      <c r="U101" s="197"/>
      <c r="V101" s="197"/>
      <c r="W101" s="197"/>
      <c r="X101" s="197"/>
      <c r="Y101" s="197"/>
      <c r="Z101" s="197"/>
      <c r="AA101" s="197"/>
      <c r="AB101" s="197"/>
      <c r="AC101" s="197"/>
      <c r="AD101" s="197"/>
      <c r="AE101" s="197"/>
      <c r="AF101" s="197"/>
      <c r="AG101" s="197"/>
      <c r="AH101" s="197"/>
      <c r="AI101" s="197"/>
      <c r="AJ101" s="197"/>
      <c r="AK101" s="197"/>
      <c r="AL101" s="197"/>
      <c r="AM101" s="197"/>
    </row>
    <row r="102" spans="1:39" ht="15" customHeight="1" thickBot="1">
      <c r="A102" s="170"/>
      <c r="B102" s="169"/>
      <c r="C102" s="168"/>
      <c r="D102" s="168"/>
      <c r="E102" s="167"/>
      <c r="F102" s="26" t="s">
        <v>287</v>
      </c>
      <c r="G102" s="172"/>
      <c r="H102" s="9"/>
      <c r="I102" s="9"/>
      <c r="J102" s="172"/>
      <c r="K102" s="9"/>
      <c r="L102" s="9"/>
      <c r="M102" s="172"/>
      <c r="N102" s="9"/>
      <c r="O102" s="9"/>
      <c r="P102" s="172"/>
      <c r="Q102" s="9"/>
      <c r="R102" s="9"/>
      <c r="S102" s="172"/>
      <c r="T102" s="9"/>
      <c r="U102" s="9"/>
      <c r="V102" s="172"/>
      <c r="W102" s="9"/>
      <c r="X102" s="9"/>
      <c r="Y102" s="172"/>
      <c r="Z102" s="9"/>
      <c r="AA102" s="9"/>
      <c r="AB102" s="172"/>
      <c r="AC102" s="9"/>
      <c r="AD102" s="9"/>
      <c r="AE102" s="172"/>
      <c r="AF102" s="9"/>
      <c r="AG102" s="9"/>
      <c r="AH102" s="172"/>
      <c r="AI102" s="9"/>
      <c r="AJ102" s="9"/>
      <c r="AK102" s="172"/>
      <c r="AL102" s="9"/>
      <c r="AM102" s="9"/>
    </row>
    <row r="103" spans="1:39" ht="15" customHeight="1" thickTop="1">
      <c r="A103" s="170" t="s">
        <v>346</v>
      </c>
      <c r="B103" s="169" t="s">
        <v>334</v>
      </c>
      <c r="C103" s="168" t="s">
        <v>133</v>
      </c>
      <c r="D103" s="168">
        <v>1</v>
      </c>
      <c r="E103" s="167" t="str">
        <f ca="1">_xll.DBRA("mfc:skz",B103,"Group")</f>
        <v>EBIT</v>
      </c>
      <c r="F103" s="92" t="s">
        <v>0</v>
      </c>
      <c r="G103" s="171" t="e">
        <f ca="1">_xll.DBRW($A$1,$C103,$B103,G$3,G$1,G$2,$A103)*$D103</f>
        <v>#VALUE!</v>
      </c>
      <c r="H103" s="14" t="e">
        <f ca="1">_xll.DBRW($A$1,$C103,$B103,H$3,H$1,H$2,$A103)*$D103</f>
        <v>#VALUE!</v>
      </c>
      <c r="I103" s="14" t="e">
        <f ca="1">+G103-H103</f>
        <v>#VALUE!</v>
      </c>
      <c r="J103" s="171" t="e">
        <f ca="1">_xll.DBRW($A$1,$C103,$B103,J$3,J$1,J$2,$A103)*$D103</f>
        <v>#VALUE!</v>
      </c>
      <c r="K103" s="14" t="e">
        <f ca="1">_xll.DBRW($A$1,$C103,$B103,K$3,K$1,K$2,$A103)*$D103</f>
        <v>#VALUE!</v>
      </c>
      <c r="L103" s="14" t="e">
        <f ca="1">+J103-K103</f>
        <v>#VALUE!</v>
      </c>
      <c r="M103" s="171" t="e">
        <f ca="1">_xll.DBRW($A$1,$C103,$B103,M$3,M$1,M$2,$A103)*$D103</f>
        <v>#VALUE!</v>
      </c>
      <c r="N103" s="14" t="e">
        <f ca="1">_xll.DBRW($A$1,$C103,$B103,N$3,N$1,N$2,$A103)*$D103</f>
        <v>#VALUE!</v>
      </c>
      <c r="O103" s="14" t="e">
        <f ca="1">+M103-N103</f>
        <v>#VALUE!</v>
      </c>
      <c r="P103" s="171" t="e">
        <f ca="1">_xll.DBRW($A$1,$C103,$B103,P$3,P$1,P$2,$A103)*$D103</f>
        <v>#VALUE!</v>
      </c>
      <c r="Q103" s="14" t="e">
        <f ca="1">_xll.DBRW($A$1,$C103,$B103,Q$3,Q$1,Q$2,$A103)*$D103</f>
        <v>#VALUE!</v>
      </c>
      <c r="R103" s="14" t="e">
        <f ca="1">+P103-Q103</f>
        <v>#VALUE!</v>
      </c>
      <c r="S103" s="171" t="e">
        <f ca="1">_xll.DBRW($A$1,$C103,$B103,S$3,S$1,S$2,$A103)*$D103</f>
        <v>#VALUE!</v>
      </c>
      <c r="T103" s="14" t="e">
        <f ca="1">_xll.DBRW($A$1,$C103,$B103,T$3,T$1,T$2,$A103)*$D103</f>
        <v>#VALUE!</v>
      </c>
      <c r="U103" s="14" t="e">
        <f ca="1">+S103-T103</f>
        <v>#VALUE!</v>
      </c>
      <c r="V103" s="171" t="e">
        <f ca="1">_xll.DBRW($A$1,$C103,$B103,V$3,V$1,V$2,$A103)*$D103</f>
        <v>#VALUE!</v>
      </c>
      <c r="W103" s="14" t="e">
        <f ca="1">_xll.DBRW($A$1,$C103,$B103,W$3,W$1,W$2,$A103)*$D103</f>
        <v>#VALUE!</v>
      </c>
      <c r="X103" s="14" t="e">
        <f ca="1">+V103-W103</f>
        <v>#VALUE!</v>
      </c>
      <c r="Y103" s="171" t="e">
        <f ca="1">_xll.DBRW($A$1,$C103,$B103,Y$3,Y$1,Y$2,$A103)*$D103</f>
        <v>#VALUE!</v>
      </c>
      <c r="Z103" s="14" t="e">
        <f ca="1">_xll.DBRW($A$1,$C103,$B103,Z$3,Z$1,Z$2,$A103)*$D103</f>
        <v>#VALUE!</v>
      </c>
      <c r="AA103" s="14" t="e">
        <f ca="1">+Y103-Z103</f>
        <v>#VALUE!</v>
      </c>
      <c r="AB103" s="171" t="e">
        <f ca="1">_xll.DBRW($A$1,$C103,$B103,AB$3,AB$1,AB$2,$A103)*$D103</f>
        <v>#VALUE!</v>
      </c>
      <c r="AC103" s="14" t="e">
        <f ca="1">_xll.DBRW($A$1,$C103,$B103,AC$3,AC$1,AC$2,$A103)*$D103</f>
        <v>#VALUE!</v>
      </c>
      <c r="AD103" s="14" t="e">
        <f ca="1">+AB103-AC103</f>
        <v>#VALUE!</v>
      </c>
      <c r="AE103" s="171" t="e">
        <f ca="1">_xll.DBRW($A$1,$C103,$B103,AE$3,AE$1,AE$2,$A103)*$D103</f>
        <v>#VALUE!</v>
      </c>
      <c r="AF103" s="14" t="e">
        <f ca="1">_xll.DBRW($A$1,$C103,$B103,AF$3,AF$1,AF$2,$A103)*$D103</f>
        <v>#VALUE!</v>
      </c>
      <c r="AG103" s="14" t="e">
        <f ca="1">+AE103-AF103</f>
        <v>#VALUE!</v>
      </c>
      <c r="AH103" s="171" t="e">
        <f ca="1">_xll.DBRW($A$1,$C103,$B103,AH$3,AH$1,AH$2,$A103)*$D103</f>
        <v>#VALUE!</v>
      </c>
      <c r="AI103" s="14" t="e">
        <f ca="1">_xll.DBRW($A$1,$C103,$B103,AI$3,AI$1,AI$2,$A103)*$D103</f>
        <v>#VALUE!</v>
      </c>
      <c r="AJ103" s="14" t="e">
        <f ca="1">+AH103-AI103</f>
        <v>#VALUE!</v>
      </c>
      <c r="AK103" s="171" t="e">
        <f ca="1">_xll.DBRW($A$1,$C103,$B103,AK$3,AK$1,AK$2,$A103)*$D103</f>
        <v>#VALUE!</v>
      </c>
      <c r="AL103" s="14" t="e">
        <f ca="1">_xll.DBRW($A$1,$C103,$B103,AL$3,AL$1,AL$2,$A103)*$D103</f>
        <v>#VALUE!</v>
      </c>
      <c r="AM103" s="14" t="e">
        <f ca="1">+AK103-AL103</f>
        <v>#VALUE!</v>
      </c>
    </row>
    <row r="104" spans="1:39" ht="15" customHeight="1">
      <c r="A104" s="170" t="s">
        <v>346</v>
      </c>
      <c r="B104" s="169" t="s">
        <v>341</v>
      </c>
      <c r="C104" s="168" t="s">
        <v>133</v>
      </c>
      <c r="D104" s="168">
        <v>-1</v>
      </c>
      <c r="E104" s="167" t="str">
        <f ca="1">_xll.DBRA("mfc:skz",B104,"Group")</f>
        <v>Exeptional items &amp; accounting changes</v>
      </c>
      <c r="F104" s="32" t="s">
        <v>11</v>
      </c>
      <c r="G104" s="171" t="e">
        <f ca="1">_xll.DBRW($A$1,$C104,$B104,G$3,G$1,G$2,$A104)*$D104</f>
        <v>#VALUE!</v>
      </c>
      <c r="H104" s="14" t="e">
        <f ca="1">_xll.DBRW($A$1,$C104,$B104,H$3,H$1,H$2,$A104)*$D104</f>
        <v>#VALUE!</v>
      </c>
      <c r="I104" s="14" t="e">
        <f ca="1">+G104-H104</f>
        <v>#VALUE!</v>
      </c>
      <c r="J104" s="171" t="e">
        <f ca="1">_xll.DBRW($A$1,$C104,$B104,J$3,J$1,J$2,$A104)*$D104</f>
        <v>#VALUE!</v>
      </c>
      <c r="K104" s="14" t="e">
        <f ca="1">_xll.DBRW($A$1,$C104,$B104,K$3,K$1,K$2,$A104)*$D104</f>
        <v>#VALUE!</v>
      </c>
      <c r="L104" s="14" t="e">
        <f ca="1">+J104-K104</f>
        <v>#VALUE!</v>
      </c>
      <c r="M104" s="171" t="e">
        <f ca="1">_xll.DBRW($A$1,$C104,$B104,M$3,M$1,M$2,$A104)*$D104</f>
        <v>#VALUE!</v>
      </c>
      <c r="N104" s="14" t="e">
        <f ca="1">_xll.DBRW($A$1,$C104,$B104,N$3,N$1,N$2,$A104)*$D104</f>
        <v>#VALUE!</v>
      </c>
      <c r="O104" s="14" t="e">
        <f ca="1">+M104-N104</f>
        <v>#VALUE!</v>
      </c>
      <c r="P104" s="171" t="e">
        <f ca="1">_xll.DBRW($A$1,$C104,$B104,P$3,P$1,P$2,$A104)*$D104</f>
        <v>#VALUE!</v>
      </c>
      <c r="Q104" s="14" t="e">
        <f ca="1">_xll.DBRW($A$1,$C104,$B104,Q$3,Q$1,Q$2,$A104)*$D104</f>
        <v>#VALUE!</v>
      </c>
      <c r="R104" s="14" t="e">
        <f ca="1">+P104-Q104</f>
        <v>#VALUE!</v>
      </c>
      <c r="S104" s="171" t="e">
        <f ca="1">_xll.DBRW($A$1,$C104,$B104,S$3,S$1,S$2,$A104)*$D104</f>
        <v>#VALUE!</v>
      </c>
      <c r="T104" s="14" t="e">
        <f ca="1">_xll.DBRW($A$1,$C104,$B104,T$3,T$1,T$2,$A104)*$D104</f>
        <v>#VALUE!</v>
      </c>
      <c r="U104" s="14" t="e">
        <f ca="1">+S104-T104</f>
        <v>#VALUE!</v>
      </c>
      <c r="V104" s="171" t="e">
        <f ca="1">_xll.DBRW($A$1,$C104,$B104,V$3,V$1,V$2,$A104)*$D104</f>
        <v>#VALUE!</v>
      </c>
      <c r="W104" s="14" t="e">
        <f ca="1">_xll.DBRW($A$1,$C104,$B104,W$3,W$1,W$2,$A104)*$D104</f>
        <v>#VALUE!</v>
      </c>
      <c r="X104" s="14" t="e">
        <f ca="1">+V104-W104</f>
        <v>#VALUE!</v>
      </c>
      <c r="Y104" s="171" t="e">
        <f ca="1">_xll.DBRW($A$1,$C104,$B104,Y$3,Y$1,Y$2,$A104)*$D104</f>
        <v>#VALUE!</v>
      </c>
      <c r="Z104" s="14" t="e">
        <f ca="1">_xll.DBRW($A$1,$C104,$B104,Z$3,Z$1,Z$2,$A104)*$D104</f>
        <v>#VALUE!</v>
      </c>
      <c r="AA104" s="14" t="e">
        <f ca="1">+Y104-Z104</f>
        <v>#VALUE!</v>
      </c>
      <c r="AB104" s="171" t="e">
        <f ca="1">_xll.DBRW($A$1,$C104,$B104,AB$3,AB$1,AB$2,$A104)*$D104</f>
        <v>#VALUE!</v>
      </c>
      <c r="AC104" s="14" t="e">
        <f ca="1">_xll.DBRW($A$1,$C104,$B104,AC$3,AC$1,AC$2,$A104)*$D104</f>
        <v>#VALUE!</v>
      </c>
      <c r="AD104" s="14" t="e">
        <f ca="1">+AB104-AC104</f>
        <v>#VALUE!</v>
      </c>
      <c r="AE104" s="171" t="e">
        <f ca="1">_xll.DBRW($A$1,$C104,$B104,AE$3,AE$1,AE$2,$A104)*$D104</f>
        <v>#VALUE!</v>
      </c>
      <c r="AF104" s="14" t="e">
        <f ca="1">_xll.DBRW($A$1,$C104,$B104,AF$3,AF$1,AF$2,$A104)*$D104</f>
        <v>#VALUE!</v>
      </c>
      <c r="AG104" s="14" t="e">
        <f ca="1">+AE104-AF104</f>
        <v>#VALUE!</v>
      </c>
      <c r="AH104" s="171" t="e">
        <f ca="1">_xll.DBRW($A$1,$C104,$B104,AH$3,AH$1,AH$2,$A104)*$D104</f>
        <v>#VALUE!</v>
      </c>
      <c r="AI104" s="14" t="e">
        <f ca="1">_xll.DBRW($A$1,$C104,$B104,AI$3,AI$1,AI$2,$A104)*$D104</f>
        <v>#VALUE!</v>
      </c>
      <c r="AJ104" s="14" t="e">
        <f ca="1">+AH104-AI104</f>
        <v>#VALUE!</v>
      </c>
      <c r="AK104" s="171" t="e">
        <f ca="1">_xll.DBRW($A$1,$C104,$B104,AK$3,AK$1,AK$2,$A104)*$D104</f>
        <v>#VALUE!</v>
      </c>
      <c r="AL104" s="14" t="e">
        <f ca="1">_xll.DBRW($A$1,$C104,$B104,AL$3,AL$1,AL$2,$A104)*$D104</f>
        <v>#VALUE!</v>
      </c>
      <c r="AM104" s="14" t="e">
        <f ca="1">+AK104-AL104</f>
        <v>#VALUE!</v>
      </c>
    </row>
    <row r="105" spans="1:39" ht="15" customHeight="1">
      <c r="A105" s="170" t="s">
        <v>346</v>
      </c>
      <c r="B105" s="169" t="s">
        <v>347</v>
      </c>
      <c r="C105" s="168" t="s">
        <v>133</v>
      </c>
      <c r="D105" s="168">
        <v>1</v>
      </c>
      <c r="E105" s="167" t="str">
        <f ca="1">_xll.DBRA("mfc:skz",B105,"Group")</f>
        <v>Inventory Effect</v>
      </c>
      <c r="F105" s="34" t="s">
        <v>293</v>
      </c>
      <c r="G105" s="171" t="e">
        <f ca="1">_xll.DBRW($A$1,$C105,$B105,G$3,G$1,G$2,$A105)*$D105</f>
        <v>#VALUE!</v>
      </c>
      <c r="H105" s="14" t="e">
        <f ca="1">_xll.DBRW($A$1,$C105,$B105,H$3,H$1,H$2,$A105)*$D105</f>
        <v>#VALUE!</v>
      </c>
      <c r="I105" s="14" t="e">
        <f ca="1">+G105-H105</f>
        <v>#VALUE!</v>
      </c>
      <c r="J105" s="171" t="e">
        <f ca="1">_xll.DBRW($A$1,$C105,$B105,J$3,J$1,J$2,$A105)*$D105</f>
        <v>#VALUE!</v>
      </c>
      <c r="K105" s="14" t="e">
        <f ca="1">_xll.DBRW($A$1,$C105,$B105,K$3,K$1,K$2,$A105)*$D105</f>
        <v>#VALUE!</v>
      </c>
      <c r="L105" s="14" t="e">
        <f ca="1">+J105-K105</f>
        <v>#VALUE!</v>
      </c>
      <c r="M105" s="171" t="e">
        <f ca="1">_xll.DBRW($A$1,$C105,$B105,M$3,M$1,M$2,$A105)*$D105</f>
        <v>#VALUE!</v>
      </c>
      <c r="N105" s="14" t="e">
        <f ca="1">_xll.DBRW($A$1,$C105,$B105,N$3,N$1,N$2,$A105)*$D105</f>
        <v>#VALUE!</v>
      </c>
      <c r="O105" s="14" t="e">
        <f ca="1">+M105-N105</f>
        <v>#VALUE!</v>
      </c>
      <c r="P105" s="171" t="e">
        <f ca="1">_xll.DBRW($A$1,$C105,$B105,P$3,P$1,P$2,$A105)*$D105</f>
        <v>#VALUE!</v>
      </c>
      <c r="Q105" s="14" t="e">
        <f ca="1">_xll.DBRW($A$1,$C105,$B105,Q$3,Q$1,Q$2,$A105)*$D105</f>
        <v>#VALUE!</v>
      </c>
      <c r="R105" s="14" t="e">
        <f ca="1">+P105-Q105</f>
        <v>#VALUE!</v>
      </c>
      <c r="S105" s="171" t="e">
        <f ca="1">_xll.DBRW($A$1,$C105,$B105,S$3,S$1,S$2,$A105)*$D105</f>
        <v>#VALUE!</v>
      </c>
      <c r="T105" s="14" t="e">
        <f ca="1">_xll.DBRW($A$1,$C105,$B105,T$3,T$1,T$2,$A105)*$D105</f>
        <v>#VALUE!</v>
      </c>
      <c r="U105" s="14" t="e">
        <f ca="1">+S105-T105</f>
        <v>#VALUE!</v>
      </c>
      <c r="V105" s="171" t="e">
        <f ca="1">_xll.DBRW($A$1,$C105,$B105,V$3,V$1,V$2,$A105)*$D105</f>
        <v>#VALUE!</v>
      </c>
      <c r="W105" s="14" t="e">
        <f ca="1">_xll.DBRW($A$1,$C105,$B105,W$3,W$1,W$2,$A105)*$D105</f>
        <v>#VALUE!</v>
      </c>
      <c r="X105" s="14" t="e">
        <f ca="1">+V105-W105</f>
        <v>#VALUE!</v>
      </c>
      <c r="Y105" s="171" t="e">
        <f ca="1">_xll.DBRW($A$1,$C105,$B105,Y$3,Y$1,Y$2,$A105)*$D105</f>
        <v>#VALUE!</v>
      </c>
      <c r="Z105" s="14" t="e">
        <f ca="1">_xll.DBRW($A$1,$C105,$B105,Z$3,Z$1,Z$2,$A105)*$D105</f>
        <v>#VALUE!</v>
      </c>
      <c r="AA105" s="14" t="e">
        <f ca="1">+Y105-Z105</f>
        <v>#VALUE!</v>
      </c>
      <c r="AB105" s="171" t="e">
        <f ca="1">_xll.DBRW($A$1,$C105,$B105,AB$3,AB$1,AB$2,$A105)*$D105</f>
        <v>#VALUE!</v>
      </c>
      <c r="AC105" s="14" t="e">
        <f ca="1">_xll.DBRW($A$1,$C105,$B105,AC$3,AC$1,AC$2,$A105)*$D105</f>
        <v>#VALUE!</v>
      </c>
      <c r="AD105" s="14" t="e">
        <f ca="1">+AB105-AC105</f>
        <v>#VALUE!</v>
      </c>
      <c r="AE105" s="171" t="e">
        <f ca="1">_xll.DBRW($A$1,$C105,$B105,AE$3,AE$1,AE$2,$A105)*$D105</f>
        <v>#VALUE!</v>
      </c>
      <c r="AF105" s="14" t="e">
        <f ca="1">_xll.DBRW($A$1,$C105,$B105,AF$3,AF$1,AF$2,$A105)*$D105</f>
        <v>#VALUE!</v>
      </c>
      <c r="AG105" s="14" t="e">
        <f ca="1">+AE105-AF105</f>
        <v>#VALUE!</v>
      </c>
      <c r="AH105" s="171" t="e">
        <f ca="1">_xll.DBRW($A$1,$C105,$B105,AH$3,AH$1,AH$2,$A105)*$D105</f>
        <v>#VALUE!</v>
      </c>
      <c r="AI105" s="14" t="e">
        <f ca="1">_xll.DBRW($A$1,$C105,$B105,AI$3,AI$1,AI$2,$A105)*$D105</f>
        <v>#VALUE!</v>
      </c>
      <c r="AJ105" s="14" t="e">
        <f ca="1">+AH105-AI105</f>
        <v>#VALUE!</v>
      </c>
      <c r="AK105" s="171" t="e">
        <f ca="1">_xll.DBRW($A$1,$C105,$B105,AK$3,AK$1,AK$2,$A105)*$D105</f>
        <v>#VALUE!</v>
      </c>
      <c r="AL105" s="14" t="e">
        <f ca="1">_xll.DBRW($A$1,$C105,$B105,AL$3,AL$1,AL$2,$A105)*$D105</f>
        <v>#VALUE!</v>
      </c>
      <c r="AM105" s="14" t="e">
        <f ca="1">+AK105-AL105</f>
        <v>#VALUE!</v>
      </c>
    </row>
    <row r="106" spans="1:39" ht="15" customHeight="1">
      <c r="A106" s="170" t="s">
        <v>346</v>
      </c>
      <c r="B106" s="169" t="s">
        <v>339</v>
      </c>
      <c r="C106" s="168" t="s">
        <v>133</v>
      </c>
      <c r="D106" s="168">
        <v>1</v>
      </c>
      <c r="E106" s="167" t="str">
        <f ca="1">_xll.DBRA("mfc:skz",B106,"Group")</f>
        <v>Clean EBIT CCS</v>
      </c>
      <c r="F106" s="89" t="s">
        <v>292</v>
      </c>
      <c r="G106" s="171" t="e">
        <f ca="1">_xll.DBRW($A$1,$C106,$B106,G$3,G$1,G$2,$A106)*$D106</f>
        <v>#VALUE!</v>
      </c>
      <c r="H106" s="14" t="e">
        <f ca="1">_xll.DBRW($A$1,$C106,$B106,H$3,H$1,H$2,$A106)*$D106</f>
        <v>#VALUE!</v>
      </c>
      <c r="I106" s="14" t="e">
        <f ca="1">+G106-H106</f>
        <v>#VALUE!</v>
      </c>
      <c r="J106" s="171" t="e">
        <f ca="1">_xll.DBRW($A$1,$C106,$B106,J$3,J$1,J$2,$A106)*$D106</f>
        <v>#VALUE!</v>
      </c>
      <c r="K106" s="14" t="e">
        <f ca="1">_xll.DBRW($A$1,$C106,$B106,K$3,K$1,K$2,$A106)*$D106</f>
        <v>#VALUE!</v>
      </c>
      <c r="L106" s="14" t="e">
        <f ca="1">+J106-K106</f>
        <v>#VALUE!</v>
      </c>
      <c r="M106" s="171" t="e">
        <f ca="1">_xll.DBRW($A$1,$C106,$B106,M$3,M$1,M$2,$A106)*$D106</f>
        <v>#VALUE!</v>
      </c>
      <c r="N106" s="14" t="e">
        <f ca="1">_xll.DBRW($A$1,$C106,$B106,N$3,N$1,N$2,$A106)*$D106</f>
        <v>#VALUE!</v>
      </c>
      <c r="O106" s="14" t="e">
        <f ca="1">+M106-N106</f>
        <v>#VALUE!</v>
      </c>
      <c r="P106" s="171" t="e">
        <f ca="1">_xll.DBRW($A$1,$C106,$B106,P$3,P$1,P$2,$A106)*$D106</f>
        <v>#VALUE!</v>
      </c>
      <c r="Q106" s="14" t="e">
        <f ca="1">_xll.DBRW($A$1,$C106,$B106,Q$3,Q$1,Q$2,$A106)*$D106</f>
        <v>#VALUE!</v>
      </c>
      <c r="R106" s="14" t="e">
        <f ca="1">+P106-Q106</f>
        <v>#VALUE!</v>
      </c>
      <c r="S106" s="171" t="e">
        <f ca="1">_xll.DBRW($A$1,$C106,$B106,S$3,S$1,S$2,$A106)*$D106</f>
        <v>#VALUE!</v>
      </c>
      <c r="T106" s="14" t="e">
        <f ca="1">_xll.DBRW($A$1,$C106,$B106,T$3,T$1,T$2,$A106)*$D106</f>
        <v>#VALUE!</v>
      </c>
      <c r="U106" s="14" t="e">
        <f ca="1">+S106-T106</f>
        <v>#VALUE!</v>
      </c>
      <c r="V106" s="171" t="e">
        <f ca="1">_xll.DBRW($A$1,$C106,$B106,V$3,V$1,V$2,$A106)*$D106</f>
        <v>#VALUE!</v>
      </c>
      <c r="W106" s="14" t="e">
        <f ca="1">_xll.DBRW($A$1,$C106,$B106,W$3,W$1,W$2,$A106)*$D106</f>
        <v>#VALUE!</v>
      </c>
      <c r="X106" s="14" t="e">
        <f ca="1">+V106-W106</f>
        <v>#VALUE!</v>
      </c>
      <c r="Y106" s="171" t="e">
        <f ca="1">_xll.DBRW($A$1,$C106,$B106,Y$3,Y$1,Y$2,$A106)*$D106</f>
        <v>#VALUE!</v>
      </c>
      <c r="Z106" s="14" t="e">
        <f ca="1">_xll.DBRW($A$1,$C106,$B106,Z$3,Z$1,Z$2,$A106)*$D106</f>
        <v>#VALUE!</v>
      </c>
      <c r="AA106" s="14" t="e">
        <f ca="1">+Y106-Z106</f>
        <v>#VALUE!</v>
      </c>
      <c r="AB106" s="171" t="e">
        <f ca="1">_xll.DBRW($A$1,$C106,$B106,AB$3,AB$1,AB$2,$A106)*$D106</f>
        <v>#VALUE!</v>
      </c>
      <c r="AC106" s="14" t="e">
        <f ca="1">_xll.DBRW($A$1,$C106,$B106,AC$3,AC$1,AC$2,$A106)*$D106</f>
        <v>#VALUE!</v>
      </c>
      <c r="AD106" s="14" t="e">
        <f ca="1">+AB106-AC106</f>
        <v>#VALUE!</v>
      </c>
      <c r="AE106" s="171" t="e">
        <f ca="1">_xll.DBRW($A$1,$C106,$B106,AE$3,AE$1,AE$2,$A106)*$D106</f>
        <v>#VALUE!</v>
      </c>
      <c r="AF106" s="14" t="e">
        <f ca="1">_xll.DBRW($A$1,$C106,$B106,AF$3,AF$1,AF$2,$A106)*$D106</f>
        <v>#VALUE!</v>
      </c>
      <c r="AG106" s="14" t="e">
        <f ca="1">+AE106-AF106</f>
        <v>#VALUE!</v>
      </c>
      <c r="AH106" s="171" t="e">
        <f ca="1">_xll.DBRW($A$1,$C106,$B106,AH$3,AH$1,AH$2,$A106)*$D106</f>
        <v>#VALUE!</v>
      </c>
      <c r="AI106" s="14" t="e">
        <f ca="1">_xll.DBRW($A$1,$C106,$B106,AI$3,AI$1,AI$2,$A106)*$D106</f>
        <v>#VALUE!</v>
      </c>
      <c r="AJ106" s="14" t="e">
        <f ca="1">+AH106-AI106</f>
        <v>#VALUE!</v>
      </c>
      <c r="AK106" s="171" t="e">
        <f ca="1">_xll.DBRW($A$1,$C106,$B106,AK$3,AK$1,AK$2,$A106)*$D106</f>
        <v>#VALUE!</v>
      </c>
      <c r="AL106" s="14" t="e">
        <f ca="1">_xll.DBRW($A$1,$C106,$B106,AL$3,AL$1,AL$2,$A106)*$D106</f>
        <v>#VALUE!</v>
      </c>
      <c r="AM106" s="14" t="e">
        <f ca="1">+AK106-AL106</f>
        <v>#VALUE!</v>
      </c>
    </row>
    <row r="107" spans="1:39" ht="15" customHeight="1" thickBot="1">
      <c r="A107" s="170" t="s">
        <v>345</v>
      </c>
      <c r="B107" s="169" t="s">
        <v>339</v>
      </c>
      <c r="C107" s="168" t="s">
        <v>133</v>
      </c>
      <c r="D107" s="168">
        <v>1</v>
      </c>
      <c r="E107" s="167" t="str">
        <f ca="1">_xll.DBRA("mfc:skz",B107,"Group")</f>
        <v>Clean EBIT CCS</v>
      </c>
      <c r="F107" s="62" t="s">
        <v>19</v>
      </c>
      <c r="G107" s="171" t="e">
        <f ca="1">_xll.DBRW($A$1,$C107,$B107,G$3,G$1,G$2,$A107)*$D107</f>
        <v>#VALUE!</v>
      </c>
      <c r="H107" s="14" t="e">
        <f ca="1">_xll.DBRW($A$1,$C107,$B107,H$3,H$1,H$2,$A107)*$D107</f>
        <v>#VALUE!</v>
      </c>
      <c r="I107" s="14" t="e">
        <f ca="1">+G107-H107</f>
        <v>#VALUE!</v>
      </c>
      <c r="J107" s="171" t="e">
        <f ca="1">_xll.DBRW($A$1,$C107,$B107,J$3,J$1,J$2,$A107)*$D107</f>
        <v>#VALUE!</v>
      </c>
      <c r="K107" s="14" t="e">
        <f ca="1">_xll.DBRW($A$1,$C107,$B107,K$3,K$1,K$2,$A107)*$D107</f>
        <v>#VALUE!</v>
      </c>
      <c r="L107" s="14" t="e">
        <f ca="1">+J107-K107</f>
        <v>#VALUE!</v>
      </c>
      <c r="M107" s="171" t="e">
        <f ca="1">_xll.DBRW($A$1,$C107,$B107,M$3,M$1,M$2,$A107)*$D107</f>
        <v>#VALUE!</v>
      </c>
      <c r="N107" s="14" t="e">
        <f ca="1">_xll.DBRW($A$1,$C107,$B107,N$3,N$1,N$2,$A107)*$D107</f>
        <v>#VALUE!</v>
      </c>
      <c r="O107" s="14" t="e">
        <f ca="1">+M107-N107</f>
        <v>#VALUE!</v>
      </c>
      <c r="P107" s="171" t="e">
        <f ca="1">_xll.DBRW($A$1,$C107,$B107,P$3,P$1,P$2,$A107)*$D107</f>
        <v>#VALUE!</v>
      </c>
      <c r="Q107" s="14" t="e">
        <f ca="1">_xll.DBRW($A$1,$C107,$B107,Q$3,Q$1,Q$2,$A107)*$D107</f>
        <v>#VALUE!</v>
      </c>
      <c r="R107" s="14" t="e">
        <f ca="1">+P107-Q107</f>
        <v>#VALUE!</v>
      </c>
      <c r="S107" s="171" t="e">
        <f ca="1">_xll.DBRW($A$1,$C107,$B107,S$3,S$1,S$2,$A107)*$D107</f>
        <v>#VALUE!</v>
      </c>
      <c r="T107" s="14" t="e">
        <f ca="1">_xll.DBRW($A$1,$C107,$B107,T$3,T$1,T$2,$A107)*$D107</f>
        <v>#VALUE!</v>
      </c>
      <c r="U107" s="14" t="e">
        <f ca="1">+S107-T107</f>
        <v>#VALUE!</v>
      </c>
      <c r="V107" s="171" t="e">
        <f ca="1">_xll.DBRW($A$1,$C107,$B107,V$3,V$1,V$2,$A107)*$D107</f>
        <v>#VALUE!</v>
      </c>
      <c r="W107" s="14" t="e">
        <f ca="1">_xll.DBRW($A$1,$C107,$B107,W$3,W$1,W$2,$A107)*$D107</f>
        <v>#VALUE!</v>
      </c>
      <c r="X107" s="14" t="e">
        <f ca="1">+V107-W107</f>
        <v>#VALUE!</v>
      </c>
      <c r="Y107" s="171" t="e">
        <f ca="1">_xll.DBRW($A$1,$C107,$B107,Y$3,Y$1,Y$2,$A107)*$D107</f>
        <v>#VALUE!</v>
      </c>
      <c r="Z107" s="14" t="e">
        <f ca="1">_xll.DBRW($A$1,$C107,$B107,Z$3,Z$1,Z$2,$A107)*$D107</f>
        <v>#VALUE!</v>
      </c>
      <c r="AA107" s="14" t="e">
        <f ca="1">+Y107-Z107</f>
        <v>#VALUE!</v>
      </c>
      <c r="AB107" s="171" t="e">
        <f ca="1">_xll.DBRW($A$1,$C107,$B107,AB$3,AB$1,AB$2,$A107)*$D107</f>
        <v>#VALUE!</v>
      </c>
      <c r="AC107" s="14" t="e">
        <f ca="1">_xll.DBRW($A$1,$C107,$B107,AC$3,AC$1,AC$2,$A107)*$D107</f>
        <v>#VALUE!</v>
      </c>
      <c r="AD107" s="14" t="e">
        <f ca="1">+AB107-AC107</f>
        <v>#VALUE!</v>
      </c>
      <c r="AE107" s="171" t="e">
        <f ca="1">_xll.DBRW($A$1,$C107,$B107,AE$3,AE$1,AE$2,$A107)*$D107</f>
        <v>#VALUE!</v>
      </c>
      <c r="AF107" s="14" t="e">
        <f ca="1">_xll.DBRW($A$1,$C107,$B107,AF$3,AF$1,AF$2,$A107)*$D107</f>
        <v>#VALUE!</v>
      </c>
      <c r="AG107" s="14" t="e">
        <f ca="1">+AE107-AF107</f>
        <v>#VALUE!</v>
      </c>
      <c r="AH107" s="171" t="e">
        <f ca="1">_xll.DBRW($A$1,$C107,$B107,AH$3,AH$1,AH$2,$A107)*$D107</f>
        <v>#VALUE!</v>
      </c>
      <c r="AI107" s="14" t="e">
        <f ca="1">_xll.DBRW($A$1,$C107,$B107,AI$3,AI$1,AI$2,$A107)*$D107</f>
        <v>#VALUE!</v>
      </c>
      <c r="AJ107" s="14" t="e">
        <f ca="1">+AH107-AI107</f>
        <v>#VALUE!</v>
      </c>
      <c r="AK107" s="171" t="e">
        <f ca="1">_xll.DBRW($A$1,$C107,$B107,AK$3,AK$1,AK$2,$A107)*$D107</f>
        <v>#VALUE!</v>
      </c>
      <c r="AL107" s="14" t="e">
        <f ca="1">_xll.DBRW($A$1,$C107,$B107,AL$3,AL$1,AL$2,$A107)*$D107</f>
        <v>#VALUE!</v>
      </c>
      <c r="AM107" s="14" t="e">
        <f ca="1">+AK107-AL107</f>
        <v>#VALUE!</v>
      </c>
    </row>
    <row r="108" spans="1:39" ht="15" customHeight="1" thickTop="1">
      <c r="A108" s="170"/>
      <c r="B108" s="169"/>
      <c r="C108" s="168"/>
      <c r="D108" s="168"/>
      <c r="E108" s="167"/>
      <c r="F108" s="164"/>
      <c r="G108" s="191"/>
      <c r="H108" s="24"/>
      <c r="I108" s="24"/>
      <c r="J108" s="191"/>
      <c r="K108" s="24"/>
      <c r="L108" s="24"/>
      <c r="M108" s="191"/>
      <c r="N108" s="24"/>
      <c r="O108" s="24"/>
      <c r="P108" s="191"/>
      <c r="Q108" s="24"/>
      <c r="R108" s="24"/>
      <c r="S108" s="191"/>
      <c r="T108" s="24"/>
      <c r="U108" s="24"/>
      <c r="V108" s="191"/>
      <c r="W108" s="24"/>
      <c r="X108" s="24"/>
      <c r="Y108" s="191"/>
      <c r="Z108" s="24"/>
      <c r="AA108" s="24"/>
      <c r="AB108" s="191"/>
      <c r="AC108" s="24"/>
      <c r="AD108" s="24"/>
      <c r="AE108" s="191"/>
      <c r="AF108" s="24"/>
      <c r="AG108" s="24"/>
      <c r="AH108" s="191"/>
      <c r="AI108" s="24"/>
      <c r="AJ108" s="24"/>
      <c r="AK108" s="191"/>
      <c r="AL108" s="24"/>
      <c r="AM108" s="24"/>
    </row>
    <row r="109" spans="1:39" ht="15" customHeight="1">
      <c r="A109" s="170"/>
      <c r="B109" s="169"/>
      <c r="C109" s="168"/>
      <c r="D109" s="168"/>
      <c r="E109" s="167"/>
      <c r="F109" s="98"/>
      <c r="G109" s="97"/>
      <c r="H109" s="97"/>
      <c r="I109" s="97"/>
      <c r="J109" s="97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7"/>
      <c r="W109" s="97"/>
      <c r="X109" s="97"/>
      <c r="Y109" s="97"/>
      <c r="Z109" s="97"/>
      <c r="AA109" s="97"/>
      <c r="AB109" s="97"/>
      <c r="AC109" s="97"/>
      <c r="AD109" s="97"/>
      <c r="AE109" s="97"/>
      <c r="AF109" s="97"/>
      <c r="AG109" s="97"/>
      <c r="AH109" s="97"/>
      <c r="AI109" s="97"/>
      <c r="AJ109" s="97"/>
      <c r="AK109" s="97"/>
      <c r="AL109" s="97"/>
      <c r="AM109" s="97"/>
    </row>
    <row r="110" spans="1:39" ht="15" customHeight="1">
      <c r="A110" s="170"/>
      <c r="B110" s="169"/>
      <c r="C110" s="168"/>
      <c r="D110" s="168"/>
      <c r="E110" s="167"/>
      <c r="F110" s="40" t="s">
        <v>192</v>
      </c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G110" s="40"/>
      <c r="AH110" s="40"/>
      <c r="AI110" s="40"/>
      <c r="AJ110" s="40"/>
      <c r="AK110" s="40"/>
      <c r="AL110" s="40"/>
      <c r="AM110" s="40"/>
    </row>
    <row r="111" spans="1:39" ht="15" customHeight="1">
      <c r="A111" s="170"/>
      <c r="B111" s="169"/>
      <c r="C111" s="168"/>
      <c r="D111" s="168"/>
      <c r="E111" s="167"/>
      <c r="F111" s="6"/>
      <c r="G111" s="7"/>
      <c r="H111" s="6"/>
      <c r="I111" s="6"/>
      <c r="J111" s="7"/>
      <c r="K111" s="6"/>
      <c r="L111" s="6"/>
      <c r="M111" s="7"/>
      <c r="N111" s="6"/>
      <c r="O111" s="6"/>
      <c r="P111" s="7"/>
      <c r="Q111" s="6"/>
      <c r="R111" s="6"/>
      <c r="S111" s="7"/>
      <c r="T111" s="6"/>
      <c r="U111" s="6"/>
      <c r="V111" s="7"/>
      <c r="W111" s="6"/>
      <c r="X111" s="6"/>
      <c r="Y111" s="7"/>
      <c r="Z111" s="6"/>
      <c r="AA111" s="6"/>
      <c r="AB111" s="7"/>
      <c r="AC111" s="6"/>
      <c r="AD111" s="6"/>
      <c r="AE111" s="7"/>
      <c r="AF111" s="6"/>
      <c r="AG111" s="6"/>
      <c r="AH111" s="7"/>
      <c r="AI111" s="6"/>
      <c r="AJ111" s="6"/>
      <c r="AK111" s="7"/>
      <c r="AL111" s="6"/>
      <c r="AM111" s="6"/>
    </row>
    <row r="112" spans="1:39" ht="15" customHeight="1" thickBot="1">
      <c r="A112" s="170"/>
      <c r="B112" s="169"/>
      <c r="C112" s="168"/>
      <c r="D112" s="168"/>
      <c r="E112" s="167"/>
      <c r="F112" s="26" t="s">
        <v>287</v>
      </c>
      <c r="G112" s="172"/>
      <c r="H112" s="9"/>
      <c r="I112" s="9"/>
      <c r="J112" s="172"/>
      <c r="K112" s="9"/>
      <c r="L112" s="9"/>
      <c r="M112" s="172"/>
      <c r="N112" s="9"/>
      <c r="O112" s="9"/>
      <c r="P112" s="172"/>
      <c r="Q112" s="9"/>
      <c r="R112" s="9"/>
      <c r="S112" s="172"/>
      <c r="T112" s="9"/>
      <c r="U112" s="9"/>
      <c r="V112" s="172"/>
      <c r="W112" s="9"/>
      <c r="X112" s="9"/>
      <c r="Y112" s="172"/>
      <c r="Z112" s="9"/>
      <c r="AA112" s="9"/>
      <c r="AB112" s="172"/>
      <c r="AC112" s="9"/>
      <c r="AD112" s="9"/>
      <c r="AE112" s="172"/>
      <c r="AF112" s="9"/>
      <c r="AG112" s="9"/>
      <c r="AH112" s="172"/>
      <c r="AI112" s="9"/>
      <c r="AJ112" s="9"/>
      <c r="AK112" s="172"/>
      <c r="AL112" s="9"/>
      <c r="AM112" s="9"/>
    </row>
    <row r="113" spans="1:39" ht="15" customHeight="1" thickTop="1">
      <c r="A113" s="170" t="s">
        <v>322</v>
      </c>
      <c r="B113" s="169" t="s">
        <v>336</v>
      </c>
      <c r="C113" s="168" t="s">
        <v>133</v>
      </c>
      <c r="D113" s="168">
        <v>1</v>
      </c>
      <c r="E113" s="167" t="str">
        <f ca="1">_xll.DBRA("mfc:skz",B113,"Group")</f>
        <v>Segment sales w/o petroleum tax</v>
      </c>
      <c r="F113" s="92" t="s">
        <v>189</v>
      </c>
      <c r="G113" s="171" t="e">
        <f ca="1">_xll.DBRW($A$1,$C113,$B113,G$3,G$1,G$2,$A113)*$D113</f>
        <v>#VALUE!</v>
      </c>
      <c r="H113" s="14" t="e">
        <f ca="1">_xll.DBRW($A$1,$C113,$B113,H$3,H$1,H$2,$A113)*$D113</f>
        <v>#VALUE!</v>
      </c>
      <c r="I113" s="14" t="e">
        <f t="shared" ref="I113:I120" ca="1" si="33">+G113-H113</f>
        <v>#VALUE!</v>
      </c>
      <c r="J113" s="171" t="e">
        <f ca="1">_xll.DBRW($A$1,$C113,$B113,J$3,J$1,J$2,$A113)*$D113</f>
        <v>#VALUE!</v>
      </c>
      <c r="K113" s="14" t="e">
        <f ca="1">_xll.DBRW($A$1,$C113,$B113,K$3,K$1,K$2,$A113)*$D113</f>
        <v>#VALUE!</v>
      </c>
      <c r="L113" s="14" t="e">
        <f t="shared" ref="L113:L120" ca="1" si="34">+J113-K113</f>
        <v>#VALUE!</v>
      </c>
      <c r="M113" s="171" t="e">
        <f ca="1">_xll.DBRW($A$1,$C113,$B113,M$3,M$1,M$2,$A113)*$D113</f>
        <v>#VALUE!</v>
      </c>
      <c r="N113" s="14" t="e">
        <f ca="1">_xll.DBRW($A$1,$C113,$B113,N$3,N$1,N$2,$A113)*$D113</f>
        <v>#VALUE!</v>
      </c>
      <c r="O113" s="14" t="e">
        <f t="shared" ref="O113:O120" ca="1" si="35">+M113-N113</f>
        <v>#VALUE!</v>
      </c>
      <c r="P113" s="171" t="e">
        <f ca="1">_xll.DBRW($A$1,$C113,$B113,P$3,P$1,P$2,$A113)*$D113</f>
        <v>#VALUE!</v>
      </c>
      <c r="Q113" s="14" t="e">
        <f ca="1">_xll.DBRW($A$1,$C113,$B113,Q$3,Q$1,Q$2,$A113)*$D113</f>
        <v>#VALUE!</v>
      </c>
      <c r="R113" s="14" t="e">
        <f t="shared" ref="R113:R120" ca="1" si="36">+P113-Q113</f>
        <v>#VALUE!</v>
      </c>
      <c r="S113" s="171" t="e">
        <f ca="1">_xll.DBRW($A$1,$C113,$B113,S$3,S$1,S$2,$A113)*$D113</f>
        <v>#VALUE!</v>
      </c>
      <c r="T113" s="14" t="e">
        <f ca="1">_xll.DBRW($A$1,$C113,$B113,T$3,T$1,T$2,$A113)*$D113</f>
        <v>#VALUE!</v>
      </c>
      <c r="U113" s="14" t="e">
        <f t="shared" ref="U113:U120" ca="1" si="37">+S113-T113</f>
        <v>#VALUE!</v>
      </c>
      <c r="V113" s="171" t="e">
        <f ca="1">_xll.DBRW($A$1,$C113,$B113,V$3,V$1,V$2,$A113)*$D113</f>
        <v>#VALUE!</v>
      </c>
      <c r="W113" s="14" t="e">
        <f ca="1">_xll.DBRW($A$1,$C113,$B113,W$3,W$1,W$2,$A113)*$D113</f>
        <v>#VALUE!</v>
      </c>
      <c r="X113" s="14" t="e">
        <f t="shared" ref="X113:X120" ca="1" si="38">+V113-W113</f>
        <v>#VALUE!</v>
      </c>
      <c r="Y113" s="171" t="e">
        <f ca="1">_xll.DBRW($A$1,$C113,$B113,Y$3,Y$1,Y$2,$A113)*$D113</f>
        <v>#VALUE!</v>
      </c>
      <c r="Z113" s="14" t="e">
        <f ca="1">_xll.DBRW($A$1,$C113,$B113,Z$3,Z$1,Z$2,$A113)*$D113</f>
        <v>#VALUE!</v>
      </c>
      <c r="AA113" s="14" t="e">
        <f t="shared" ref="AA113:AA120" ca="1" si="39">+Y113-Z113</f>
        <v>#VALUE!</v>
      </c>
      <c r="AB113" s="171" t="e">
        <f ca="1">_xll.DBRW($A$1,$C113,$B113,AB$3,AB$1,AB$2,$A113)*$D113</f>
        <v>#VALUE!</v>
      </c>
      <c r="AC113" s="14" t="e">
        <f ca="1">_xll.DBRW($A$1,$C113,$B113,AC$3,AC$1,AC$2,$A113)*$D113</f>
        <v>#VALUE!</v>
      </c>
      <c r="AD113" s="14" t="e">
        <f t="shared" ref="AD113:AD120" ca="1" si="40">+AB113-AC113</f>
        <v>#VALUE!</v>
      </c>
      <c r="AE113" s="171" t="e">
        <f ca="1">_xll.DBRW($A$1,$C113,$B113,AE$3,AE$1,AE$2,$A113)*$D113</f>
        <v>#VALUE!</v>
      </c>
      <c r="AF113" s="14" t="e">
        <f ca="1">_xll.DBRW($A$1,$C113,$B113,AF$3,AF$1,AF$2,$A113)*$D113</f>
        <v>#VALUE!</v>
      </c>
      <c r="AG113" s="14" t="e">
        <f t="shared" ref="AG113:AG120" ca="1" si="41">+AE113-AF113</f>
        <v>#VALUE!</v>
      </c>
      <c r="AH113" s="171" t="e">
        <f ca="1">_xll.DBRW($A$1,$C113,$B113,AH$3,AH$1,AH$2,$A113)*$D113</f>
        <v>#VALUE!</v>
      </c>
      <c r="AI113" s="14" t="e">
        <f ca="1">_xll.DBRW($A$1,$C113,$B113,AI$3,AI$1,AI$2,$A113)*$D113</f>
        <v>#VALUE!</v>
      </c>
      <c r="AJ113" s="14" t="e">
        <f t="shared" ref="AJ113:AJ120" ca="1" si="42">+AH113-AI113</f>
        <v>#VALUE!</v>
      </c>
      <c r="AK113" s="171" t="e">
        <f ca="1">_xll.DBRW($A$1,$C113,$B113,AK$3,AK$1,AK$2,$A113)*$D113</f>
        <v>#VALUE!</v>
      </c>
      <c r="AL113" s="14" t="e">
        <f ca="1">_xll.DBRW($A$1,$C113,$B113,AL$3,AL$1,AL$2,$A113)*$D113</f>
        <v>#VALUE!</v>
      </c>
      <c r="AM113" s="14" t="e">
        <f t="shared" ref="AM113:AM120" ca="1" si="43">+AK113-AL113</f>
        <v>#VALUE!</v>
      </c>
    </row>
    <row r="114" spans="1:39" ht="15" customHeight="1">
      <c r="A114" s="170" t="s">
        <v>322</v>
      </c>
      <c r="B114" s="169" t="s">
        <v>334</v>
      </c>
      <c r="C114" s="168" t="s">
        <v>133</v>
      </c>
      <c r="D114" s="168">
        <v>1</v>
      </c>
      <c r="E114" s="167" t="str">
        <f ca="1">_xll.DBRA("mfc:skz",B114,"Group")</f>
        <v>EBIT</v>
      </c>
      <c r="F114" s="187" t="s">
        <v>0</v>
      </c>
      <c r="G114" s="171" t="e">
        <f ca="1">_xll.DBRW($A$1,$C114,$B114,G$3,G$1,G$2,$A114)*$D114</f>
        <v>#VALUE!</v>
      </c>
      <c r="H114" s="14" t="e">
        <f ca="1">_xll.DBRW($A$1,$C114,$B114,H$3,H$1,H$2,$A114)*$D114</f>
        <v>#VALUE!</v>
      </c>
      <c r="I114" s="14" t="e">
        <f t="shared" ca="1" si="33"/>
        <v>#VALUE!</v>
      </c>
      <c r="J114" s="171" t="e">
        <f ca="1">_xll.DBRW($A$1,$C114,$B114,J$3,J$1,J$2,$A114)*$D114</f>
        <v>#VALUE!</v>
      </c>
      <c r="K114" s="14" t="e">
        <f ca="1">_xll.DBRW($A$1,$C114,$B114,K$3,K$1,K$2,$A114)*$D114</f>
        <v>#VALUE!</v>
      </c>
      <c r="L114" s="14" t="e">
        <f t="shared" ca="1" si="34"/>
        <v>#VALUE!</v>
      </c>
      <c r="M114" s="171" t="e">
        <f ca="1">_xll.DBRW($A$1,$C114,$B114,M$3,M$1,M$2,$A114)*$D114</f>
        <v>#VALUE!</v>
      </c>
      <c r="N114" s="14" t="e">
        <f ca="1">_xll.DBRW($A$1,$C114,$B114,N$3,N$1,N$2,$A114)*$D114</f>
        <v>#VALUE!</v>
      </c>
      <c r="O114" s="14" t="e">
        <f t="shared" ca="1" si="35"/>
        <v>#VALUE!</v>
      </c>
      <c r="P114" s="171" t="e">
        <f ca="1">_xll.DBRW($A$1,$C114,$B114,P$3,P$1,P$2,$A114)*$D114</f>
        <v>#VALUE!</v>
      </c>
      <c r="Q114" s="14" t="e">
        <f ca="1">_xll.DBRW($A$1,$C114,$B114,Q$3,Q$1,Q$2,$A114)*$D114</f>
        <v>#VALUE!</v>
      </c>
      <c r="R114" s="14" t="e">
        <f t="shared" ca="1" si="36"/>
        <v>#VALUE!</v>
      </c>
      <c r="S114" s="171" t="e">
        <f ca="1">_xll.DBRW($A$1,$C114,$B114,S$3,S$1,S$2,$A114)*$D114</f>
        <v>#VALUE!</v>
      </c>
      <c r="T114" s="14" t="e">
        <f ca="1">_xll.DBRW($A$1,$C114,$B114,T$3,T$1,T$2,$A114)*$D114</f>
        <v>#VALUE!</v>
      </c>
      <c r="U114" s="14" t="e">
        <f t="shared" ca="1" si="37"/>
        <v>#VALUE!</v>
      </c>
      <c r="V114" s="171" t="e">
        <f ca="1">_xll.DBRW($A$1,$C114,$B114,V$3,V$1,V$2,$A114)*$D114</f>
        <v>#VALUE!</v>
      </c>
      <c r="W114" s="14" t="e">
        <f ca="1">_xll.DBRW($A$1,$C114,$B114,W$3,W$1,W$2,$A114)*$D114</f>
        <v>#VALUE!</v>
      </c>
      <c r="X114" s="14" t="e">
        <f t="shared" ca="1" si="38"/>
        <v>#VALUE!</v>
      </c>
      <c r="Y114" s="171" t="e">
        <f ca="1">_xll.DBRW($A$1,$C114,$B114,Y$3,Y$1,Y$2,$A114)*$D114</f>
        <v>#VALUE!</v>
      </c>
      <c r="Z114" s="14" t="e">
        <f ca="1">_xll.DBRW($A$1,$C114,$B114,Z$3,Z$1,Z$2,$A114)*$D114</f>
        <v>#VALUE!</v>
      </c>
      <c r="AA114" s="14" t="e">
        <f t="shared" ca="1" si="39"/>
        <v>#VALUE!</v>
      </c>
      <c r="AB114" s="171" t="e">
        <f ca="1">_xll.DBRW($A$1,$C114,$B114,AB$3,AB$1,AB$2,$A114)*$D114</f>
        <v>#VALUE!</v>
      </c>
      <c r="AC114" s="14" t="e">
        <f ca="1">_xll.DBRW($A$1,$C114,$B114,AC$3,AC$1,AC$2,$A114)*$D114</f>
        <v>#VALUE!</v>
      </c>
      <c r="AD114" s="14" t="e">
        <f t="shared" ca="1" si="40"/>
        <v>#VALUE!</v>
      </c>
      <c r="AE114" s="171" t="e">
        <f ca="1">_xll.DBRW($A$1,$C114,$B114,AE$3,AE$1,AE$2,$A114)*$D114</f>
        <v>#VALUE!</v>
      </c>
      <c r="AF114" s="14" t="e">
        <f ca="1">_xll.DBRW($A$1,$C114,$B114,AF$3,AF$1,AF$2,$A114)*$D114</f>
        <v>#VALUE!</v>
      </c>
      <c r="AG114" s="14" t="e">
        <f t="shared" ca="1" si="41"/>
        <v>#VALUE!</v>
      </c>
      <c r="AH114" s="171" t="e">
        <f ca="1">_xll.DBRW($A$1,$C114,$B114,AH$3,AH$1,AH$2,$A114)*$D114</f>
        <v>#VALUE!</v>
      </c>
      <c r="AI114" s="14" t="e">
        <f ca="1">_xll.DBRW($A$1,$C114,$B114,AI$3,AI$1,AI$2,$A114)*$D114</f>
        <v>#VALUE!</v>
      </c>
      <c r="AJ114" s="14" t="e">
        <f t="shared" ca="1" si="42"/>
        <v>#VALUE!</v>
      </c>
      <c r="AK114" s="171" t="e">
        <f ca="1">_xll.DBRW($A$1,$C114,$B114,AK$3,AK$1,AK$2,$A114)*$D114</f>
        <v>#VALUE!</v>
      </c>
      <c r="AL114" s="14" t="e">
        <f ca="1">_xll.DBRW($A$1,$C114,$B114,AL$3,AL$1,AL$2,$A114)*$D114</f>
        <v>#VALUE!</v>
      </c>
      <c r="AM114" s="14" t="e">
        <f t="shared" ca="1" si="43"/>
        <v>#VALUE!</v>
      </c>
    </row>
    <row r="115" spans="1:39" ht="15" customHeight="1">
      <c r="A115" s="170" t="s">
        <v>322</v>
      </c>
      <c r="B115" s="169" t="s">
        <v>341</v>
      </c>
      <c r="C115" s="168" t="s">
        <v>133</v>
      </c>
      <c r="D115" s="168">
        <v>-1</v>
      </c>
      <c r="E115" s="167" t="str">
        <f ca="1">_xll.DBRA("mfc:skz",B115,"Group")</f>
        <v>Exeptional items &amp; accounting changes</v>
      </c>
      <c r="F115" s="187" t="s">
        <v>11</v>
      </c>
      <c r="G115" s="171" t="e">
        <f ca="1">_xll.DBRW($A$1,$C115,$B115,G$3,G$1,G$2,$A115)*$D115</f>
        <v>#VALUE!</v>
      </c>
      <c r="H115" s="14" t="e">
        <f ca="1">_xll.DBRW($A$1,$C115,$B115,H$3,H$1,H$2,$A115)*$D115</f>
        <v>#VALUE!</v>
      </c>
      <c r="I115" s="14" t="e">
        <f t="shared" ca="1" si="33"/>
        <v>#VALUE!</v>
      </c>
      <c r="J115" s="171" t="e">
        <f ca="1">_xll.DBRW($A$1,$C115,$B115,J$3,J$1,J$2,$A115)*$D115</f>
        <v>#VALUE!</v>
      </c>
      <c r="K115" s="14" t="e">
        <f ca="1">_xll.DBRW($A$1,$C115,$B115,K$3,K$1,K$2,$A115)*$D115</f>
        <v>#VALUE!</v>
      </c>
      <c r="L115" s="14" t="e">
        <f t="shared" ca="1" si="34"/>
        <v>#VALUE!</v>
      </c>
      <c r="M115" s="171" t="e">
        <f ca="1">_xll.DBRW($A$1,$C115,$B115,M$3,M$1,M$2,$A115)*$D115</f>
        <v>#VALUE!</v>
      </c>
      <c r="N115" s="14" t="e">
        <f ca="1">_xll.DBRW($A$1,$C115,$B115,N$3,N$1,N$2,$A115)*$D115</f>
        <v>#VALUE!</v>
      </c>
      <c r="O115" s="14" t="e">
        <f t="shared" ca="1" si="35"/>
        <v>#VALUE!</v>
      </c>
      <c r="P115" s="171" t="e">
        <f ca="1">_xll.DBRW($A$1,$C115,$B115,P$3,P$1,P$2,$A115)*$D115</f>
        <v>#VALUE!</v>
      </c>
      <c r="Q115" s="14" t="e">
        <f ca="1">_xll.DBRW($A$1,$C115,$B115,Q$3,Q$1,Q$2,$A115)*$D115</f>
        <v>#VALUE!</v>
      </c>
      <c r="R115" s="14" t="e">
        <f t="shared" ca="1" si="36"/>
        <v>#VALUE!</v>
      </c>
      <c r="S115" s="171" t="e">
        <f ca="1">_xll.DBRW($A$1,$C115,$B115,S$3,S$1,S$2,$A115)*$D115</f>
        <v>#VALUE!</v>
      </c>
      <c r="T115" s="14" t="e">
        <f ca="1">_xll.DBRW($A$1,$C115,$B115,T$3,T$1,T$2,$A115)*$D115</f>
        <v>#VALUE!</v>
      </c>
      <c r="U115" s="14" t="e">
        <f t="shared" ca="1" si="37"/>
        <v>#VALUE!</v>
      </c>
      <c r="V115" s="171" t="e">
        <f ca="1">_xll.DBRW($A$1,$C115,$B115,V$3,V$1,V$2,$A115)*$D115</f>
        <v>#VALUE!</v>
      </c>
      <c r="W115" s="14" t="e">
        <f ca="1">_xll.DBRW($A$1,$C115,$B115,W$3,W$1,W$2,$A115)*$D115</f>
        <v>#VALUE!</v>
      </c>
      <c r="X115" s="14" t="e">
        <f t="shared" ca="1" si="38"/>
        <v>#VALUE!</v>
      </c>
      <c r="Y115" s="171" t="e">
        <f ca="1">_xll.DBRW($A$1,$C115,$B115,Y$3,Y$1,Y$2,$A115)*$D115</f>
        <v>#VALUE!</v>
      </c>
      <c r="Z115" s="14" t="e">
        <f ca="1">_xll.DBRW($A$1,$C115,$B115,Z$3,Z$1,Z$2,$A115)*$D115</f>
        <v>#VALUE!</v>
      </c>
      <c r="AA115" s="14" t="e">
        <f t="shared" ca="1" si="39"/>
        <v>#VALUE!</v>
      </c>
      <c r="AB115" s="171" t="e">
        <f ca="1">_xll.DBRW($A$1,$C115,$B115,AB$3,AB$1,AB$2,$A115)*$D115</f>
        <v>#VALUE!</v>
      </c>
      <c r="AC115" s="14" t="e">
        <f ca="1">_xll.DBRW($A$1,$C115,$B115,AC$3,AC$1,AC$2,$A115)*$D115</f>
        <v>#VALUE!</v>
      </c>
      <c r="AD115" s="14" t="e">
        <f t="shared" ca="1" si="40"/>
        <v>#VALUE!</v>
      </c>
      <c r="AE115" s="171" t="e">
        <f ca="1">_xll.DBRW($A$1,$C115,$B115,AE$3,AE$1,AE$2,$A115)*$D115</f>
        <v>#VALUE!</v>
      </c>
      <c r="AF115" s="14" t="e">
        <f ca="1">_xll.DBRW($A$1,$C115,$B115,AF$3,AF$1,AF$2,$A115)*$D115</f>
        <v>#VALUE!</v>
      </c>
      <c r="AG115" s="14" t="e">
        <f t="shared" ca="1" si="41"/>
        <v>#VALUE!</v>
      </c>
      <c r="AH115" s="171" t="e">
        <f ca="1">_xll.DBRW($A$1,$C115,$B115,AH$3,AH$1,AH$2,$A115)*$D115</f>
        <v>#VALUE!</v>
      </c>
      <c r="AI115" s="14" t="e">
        <f ca="1">_xll.DBRW($A$1,$C115,$B115,AI$3,AI$1,AI$2,$A115)*$D115</f>
        <v>#VALUE!</v>
      </c>
      <c r="AJ115" s="14" t="e">
        <f t="shared" ca="1" si="42"/>
        <v>#VALUE!</v>
      </c>
      <c r="AK115" s="171" t="e">
        <f ca="1">_xll.DBRW($A$1,$C115,$B115,AK$3,AK$1,AK$2,$A115)*$D115</f>
        <v>#VALUE!</v>
      </c>
      <c r="AL115" s="14" t="e">
        <f ca="1">_xll.DBRW($A$1,$C115,$B115,AL$3,AL$1,AL$2,$A115)*$D115</f>
        <v>#VALUE!</v>
      </c>
      <c r="AM115" s="14" t="e">
        <f t="shared" ca="1" si="43"/>
        <v>#VALUE!</v>
      </c>
    </row>
    <row r="116" spans="1:39" ht="15" customHeight="1">
      <c r="A116" s="170" t="s">
        <v>322</v>
      </c>
      <c r="B116" s="169" t="s">
        <v>344</v>
      </c>
      <c r="C116" s="168" t="s">
        <v>133</v>
      </c>
      <c r="D116" s="168">
        <v>1</v>
      </c>
      <c r="E116" s="167" t="str">
        <f ca="1">_xll.DBRA("mfc:skz",B116,"Group")</f>
        <v>Clean EBIT</v>
      </c>
      <c r="F116" s="27" t="s">
        <v>1</v>
      </c>
      <c r="G116" s="171" t="e">
        <f ca="1">_xll.DBRW($A$1,$C116,$B116,G$3,G$1,G$2,$A116)*$D116</f>
        <v>#VALUE!</v>
      </c>
      <c r="H116" s="14" t="e">
        <f ca="1">_xll.DBRW($A$1,$C116,$B116,H$3,H$1,H$2,$A116)*$D116</f>
        <v>#VALUE!</v>
      </c>
      <c r="I116" s="14" t="e">
        <f t="shared" ca="1" si="33"/>
        <v>#VALUE!</v>
      </c>
      <c r="J116" s="171" t="e">
        <f ca="1">_xll.DBRW($A$1,$C116,$B116,J$3,J$1,J$2,$A116)*$D116</f>
        <v>#VALUE!</v>
      </c>
      <c r="K116" s="14" t="e">
        <f ca="1">_xll.DBRW($A$1,$C116,$B116,K$3,K$1,K$2,$A116)*$D116</f>
        <v>#VALUE!</v>
      </c>
      <c r="L116" s="14" t="e">
        <f t="shared" ca="1" si="34"/>
        <v>#VALUE!</v>
      </c>
      <c r="M116" s="171" t="e">
        <f ca="1">_xll.DBRW($A$1,$C116,$B116,M$3,M$1,M$2,$A116)*$D116</f>
        <v>#VALUE!</v>
      </c>
      <c r="N116" s="14" t="e">
        <f ca="1">_xll.DBRW($A$1,$C116,$B116,N$3,N$1,N$2,$A116)*$D116</f>
        <v>#VALUE!</v>
      </c>
      <c r="O116" s="14" t="e">
        <f t="shared" ca="1" si="35"/>
        <v>#VALUE!</v>
      </c>
      <c r="P116" s="171" t="e">
        <f ca="1">_xll.DBRW($A$1,$C116,$B116,P$3,P$1,P$2,$A116)*$D116</f>
        <v>#VALUE!</v>
      </c>
      <c r="Q116" s="14" t="e">
        <f ca="1">_xll.DBRW($A$1,$C116,$B116,Q$3,Q$1,Q$2,$A116)*$D116</f>
        <v>#VALUE!</v>
      </c>
      <c r="R116" s="14" t="e">
        <f t="shared" ca="1" si="36"/>
        <v>#VALUE!</v>
      </c>
      <c r="S116" s="171" t="e">
        <f ca="1">_xll.DBRW($A$1,$C116,$B116,S$3,S$1,S$2,$A116)*$D116</f>
        <v>#VALUE!</v>
      </c>
      <c r="T116" s="14" t="e">
        <f ca="1">_xll.DBRW($A$1,$C116,$B116,T$3,T$1,T$2,$A116)*$D116</f>
        <v>#VALUE!</v>
      </c>
      <c r="U116" s="14" t="e">
        <f t="shared" ca="1" si="37"/>
        <v>#VALUE!</v>
      </c>
      <c r="V116" s="171" t="e">
        <f ca="1">_xll.DBRW($A$1,$C116,$B116,V$3,V$1,V$2,$A116)*$D116</f>
        <v>#VALUE!</v>
      </c>
      <c r="W116" s="14" t="e">
        <f ca="1">_xll.DBRW($A$1,$C116,$B116,W$3,W$1,W$2,$A116)*$D116</f>
        <v>#VALUE!</v>
      </c>
      <c r="X116" s="14" t="e">
        <f t="shared" ca="1" si="38"/>
        <v>#VALUE!</v>
      </c>
      <c r="Y116" s="171" t="e">
        <f ca="1">_xll.DBRW($A$1,$C116,$B116,Y$3,Y$1,Y$2,$A116)*$D116</f>
        <v>#VALUE!</v>
      </c>
      <c r="Z116" s="14" t="e">
        <f ca="1">_xll.DBRW($A$1,$C116,$B116,Z$3,Z$1,Z$2,$A116)*$D116</f>
        <v>#VALUE!</v>
      </c>
      <c r="AA116" s="14" t="e">
        <f t="shared" ca="1" si="39"/>
        <v>#VALUE!</v>
      </c>
      <c r="AB116" s="171" t="e">
        <f ca="1">_xll.DBRW($A$1,$C116,$B116,AB$3,AB$1,AB$2,$A116)*$D116</f>
        <v>#VALUE!</v>
      </c>
      <c r="AC116" s="14" t="e">
        <f ca="1">_xll.DBRW($A$1,$C116,$B116,AC$3,AC$1,AC$2,$A116)*$D116</f>
        <v>#VALUE!</v>
      </c>
      <c r="AD116" s="14" t="e">
        <f t="shared" ca="1" si="40"/>
        <v>#VALUE!</v>
      </c>
      <c r="AE116" s="171" t="e">
        <f ca="1">_xll.DBRW($A$1,$C116,$B116,AE$3,AE$1,AE$2,$A116)*$D116</f>
        <v>#VALUE!</v>
      </c>
      <c r="AF116" s="14" t="e">
        <f ca="1">_xll.DBRW($A$1,$C116,$B116,AF$3,AF$1,AF$2,$A116)*$D116</f>
        <v>#VALUE!</v>
      </c>
      <c r="AG116" s="14" t="e">
        <f t="shared" ca="1" si="41"/>
        <v>#VALUE!</v>
      </c>
      <c r="AH116" s="171" t="e">
        <f ca="1">_xll.DBRW($A$1,$C116,$B116,AH$3,AH$1,AH$2,$A116)*$D116</f>
        <v>#VALUE!</v>
      </c>
      <c r="AI116" s="14" t="e">
        <f ca="1">_xll.DBRW($A$1,$C116,$B116,AI$3,AI$1,AI$2,$A116)*$D116</f>
        <v>#VALUE!</v>
      </c>
      <c r="AJ116" s="14" t="e">
        <f t="shared" ca="1" si="42"/>
        <v>#VALUE!</v>
      </c>
      <c r="AK116" s="171" t="e">
        <f ca="1">_xll.DBRW($A$1,$C116,$B116,AK$3,AK$1,AK$2,$A116)*$D116</f>
        <v>#VALUE!</v>
      </c>
      <c r="AL116" s="14" t="e">
        <f ca="1">_xll.DBRW($A$1,$C116,$B116,AL$3,AL$1,AL$2,$A116)*$D116</f>
        <v>#VALUE!</v>
      </c>
      <c r="AM116" s="14" t="e">
        <f t="shared" ca="1" si="43"/>
        <v>#VALUE!</v>
      </c>
    </row>
    <row r="117" spans="1:39" ht="15" customHeight="1">
      <c r="A117" s="170" t="s">
        <v>343</v>
      </c>
      <c r="B117" s="169" t="s">
        <v>339</v>
      </c>
      <c r="C117" s="168" t="s">
        <v>133</v>
      </c>
      <c r="D117" s="168">
        <v>1</v>
      </c>
      <c r="E117" s="167" t="str">
        <f ca="1">_xll.DBRA("mfc:skz",B117,"Group")</f>
        <v>Clean EBIT CCS</v>
      </c>
      <c r="F117" s="30" t="s">
        <v>216</v>
      </c>
      <c r="G117" s="171" t="e">
        <f ca="1">_xll.DBRW($A$1,$C117,$B117,G$3,G$1,G$2,$A117)*$D117</f>
        <v>#VALUE!</v>
      </c>
      <c r="H117" s="14" t="e">
        <f ca="1">_xll.DBRW($A$1,$C117,$B117,H$3,H$1,H$2,$A117)*$D117</f>
        <v>#VALUE!</v>
      </c>
      <c r="I117" s="14" t="e">
        <f t="shared" ca="1" si="33"/>
        <v>#VALUE!</v>
      </c>
      <c r="J117" s="171" t="e">
        <f ca="1">_xll.DBRW($A$1,$C117,$B117,J$3,J$1,J$2,$A117)*$D117</f>
        <v>#VALUE!</v>
      </c>
      <c r="K117" s="14" t="e">
        <f ca="1">_xll.DBRW($A$1,$C117,$B117,K$3,K$1,K$2,$A117)*$D117</f>
        <v>#VALUE!</v>
      </c>
      <c r="L117" s="14" t="e">
        <f t="shared" ca="1" si="34"/>
        <v>#VALUE!</v>
      </c>
      <c r="M117" s="171" t="e">
        <f ca="1">_xll.DBRW($A$1,$C117,$B117,M$3,M$1,M$2,$A117)*$D117</f>
        <v>#VALUE!</v>
      </c>
      <c r="N117" s="14" t="e">
        <f ca="1">_xll.DBRW($A$1,$C117,$B117,N$3,N$1,N$2,$A117)*$D117</f>
        <v>#VALUE!</v>
      </c>
      <c r="O117" s="14" t="e">
        <f t="shared" ca="1" si="35"/>
        <v>#VALUE!</v>
      </c>
      <c r="P117" s="171" t="e">
        <f ca="1">_xll.DBRW($A$1,$C117,$B117,P$3,P$1,P$2,$A117)*$D117</f>
        <v>#VALUE!</v>
      </c>
      <c r="Q117" s="14" t="e">
        <f ca="1">_xll.DBRW($A$1,$C117,$B117,Q$3,Q$1,Q$2,$A117)*$D117</f>
        <v>#VALUE!</v>
      </c>
      <c r="R117" s="14" t="e">
        <f t="shared" ca="1" si="36"/>
        <v>#VALUE!</v>
      </c>
      <c r="S117" s="171" t="e">
        <f ca="1">_xll.DBRW($A$1,$C117,$B117,S$3,S$1,S$2,$A117)*$D117</f>
        <v>#VALUE!</v>
      </c>
      <c r="T117" s="14" t="e">
        <f ca="1">_xll.DBRW($A$1,$C117,$B117,T$3,T$1,T$2,$A117)*$D117</f>
        <v>#VALUE!</v>
      </c>
      <c r="U117" s="14" t="e">
        <f t="shared" ca="1" si="37"/>
        <v>#VALUE!</v>
      </c>
      <c r="V117" s="171" t="e">
        <f ca="1">_xll.DBRW($A$1,$C117,$B117,V$3,V$1,V$2,$A117)*$D117</f>
        <v>#VALUE!</v>
      </c>
      <c r="W117" s="14" t="e">
        <f ca="1">_xll.DBRW($A$1,$C117,$B117,W$3,W$1,W$2,$A117)*$D117</f>
        <v>#VALUE!</v>
      </c>
      <c r="X117" s="14" t="e">
        <f t="shared" ca="1" si="38"/>
        <v>#VALUE!</v>
      </c>
      <c r="Y117" s="171" t="e">
        <f ca="1">_xll.DBRW($A$1,$C117,$B117,Y$3,Y$1,Y$2,$A117)*$D117</f>
        <v>#VALUE!</v>
      </c>
      <c r="Z117" s="14" t="e">
        <f ca="1">_xll.DBRW($A$1,$C117,$B117,Z$3,Z$1,Z$2,$A117)*$D117</f>
        <v>#VALUE!</v>
      </c>
      <c r="AA117" s="14" t="e">
        <f t="shared" ca="1" si="39"/>
        <v>#VALUE!</v>
      </c>
      <c r="AB117" s="171" t="e">
        <f ca="1">_xll.DBRW($A$1,$C117,$B117,AB$3,AB$1,AB$2,$A117)*$D117</f>
        <v>#VALUE!</v>
      </c>
      <c r="AC117" s="14" t="e">
        <f ca="1">_xll.DBRW($A$1,$C117,$B117,AC$3,AC$1,AC$2,$A117)*$D117</f>
        <v>#VALUE!</v>
      </c>
      <c r="AD117" s="14" t="e">
        <f t="shared" ca="1" si="40"/>
        <v>#VALUE!</v>
      </c>
      <c r="AE117" s="171" t="e">
        <f ca="1">_xll.DBRW($A$1,$C117,$B117,AE$3,AE$1,AE$2,$A117)*$D117</f>
        <v>#VALUE!</v>
      </c>
      <c r="AF117" s="14" t="e">
        <f ca="1">_xll.DBRW($A$1,$C117,$B117,AF$3,AF$1,AF$2,$A117)*$D117</f>
        <v>#VALUE!</v>
      </c>
      <c r="AG117" s="14" t="e">
        <f t="shared" ca="1" si="41"/>
        <v>#VALUE!</v>
      </c>
      <c r="AH117" s="171" t="e">
        <f ca="1">_xll.DBRW($A$1,$C117,$B117,AH$3,AH$1,AH$2,$A117)*$D117</f>
        <v>#VALUE!</v>
      </c>
      <c r="AI117" s="14" t="e">
        <f ca="1">_xll.DBRW($A$1,$C117,$B117,AI$3,AI$1,AI$2,$A117)*$D117</f>
        <v>#VALUE!</v>
      </c>
      <c r="AJ117" s="14" t="e">
        <f t="shared" ca="1" si="42"/>
        <v>#VALUE!</v>
      </c>
      <c r="AK117" s="171" t="e">
        <f ca="1">_xll.DBRW($A$1,$C117,$B117,AK$3,AK$1,AK$2,$A117)*$D117</f>
        <v>#VALUE!</v>
      </c>
      <c r="AL117" s="14" t="e">
        <f ca="1">_xll.DBRW($A$1,$C117,$B117,AL$3,AL$1,AL$2,$A117)*$D117</f>
        <v>#VALUE!</v>
      </c>
      <c r="AM117" s="14" t="e">
        <f t="shared" ca="1" si="43"/>
        <v>#VALUE!</v>
      </c>
    </row>
    <row r="118" spans="1:39" ht="15" customHeight="1">
      <c r="A118" s="170" t="s">
        <v>322</v>
      </c>
      <c r="B118" s="169" t="s">
        <v>326</v>
      </c>
      <c r="C118" s="168" t="s">
        <v>133</v>
      </c>
      <c r="D118" s="168">
        <v>1</v>
      </c>
      <c r="E118" s="167" t="str">
        <f ca="1">_xll.DBRA("mfc:skz",B118,"Group")</f>
        <v>EBITD</v>
      </c>
      <c r="F118" s="32" t="s">
        <v>135</v>
      </c>
      <c r="G118" s="171" t="e">
        <f ca="1">_xll.DBRW($A$1,$C118,$B118,G$3,G$1,G$2,$A118)*$D118</f>
        <v>#VALUE!</v>
      </c>
      <c r="H118" s="14" t="e">
        <f ca="1">_xll.DBRW($A$1,$C118,$B118,H$3,H$1,H$2,$A118)*$D118</f>
        <v>#VALUE!</v>
      </c>
      <c r="I118" s="14" t="e">
        <f t="shared" ca="1" si="33"/>
        <v>#VALUE!</v>
      </c>
      <c r="J118" s="171" t="e">
        <f ca="1">_xll.DBRW($A$1,$C118,$B118,J$3,J$1,J$2,$A118)*$D118</f>
        <v>#VALUE!</v>
      </c>
      <c r="K118" s="14" t="e">
        <f ca="1">_xll.DBRW($A$1,$C118,$B118,K$3,K$1,K$2,$A118)*$D118</f>
        <v>#VALUE!</v>
      </c>
      <c r="L118" s="14" t="e">
        <f t="shared" ca="1" si="34"/>
        <v>#VALUE!</v>
      </c>
      <c r="M118" s="171" t="e">
        <f ca="1">_xll.DBRW($A$1,$C118,$B118,M$3,M$1,M$2,$A118)*$D118</f>
        <v>#VALUE!</v>
      </c>
      <c r="N118" s="14" t="e">
        <f ca="1">_xll.DBRW($A$1,$C118,$B118,N$3,N$1,N$2,$A118)*$D118</f>
        <v>#VALUE!</v>
      </c>
      <c r="O118" s="14" t="e">
        <f t="shared" ca="1" si="35"/>
        <v>#VALUE!</v>
      </c>
      <c r="P118" s="171" t="e">
        <f ca="1">_xll.DBRW($A$1,$C118,$B118,P$3,P$1,P$2,$A118)*$D118</f>
        <v>#VALUE!</v>
      </c>
      <c r="Q118" s="14" t="e">
        <f ca="1">_xll.DBRW($A$1,$C118,$B118,Q$3,Q$1,Q$2,$A118)*$D118</f>
        <v>#VALUE!</v>
      </c>
      <c r="R118" s="14" t="e">
        <f t="shared" ca="1" si="36"/>
        <v>#VALUE!</v>
      </c>
      <c r="S118" s="171" t="e">
        <f ca="1">_xll.DBRW($A$1,$C118,$B118,S$3,S$1,S$2,$A118)*$D118</f>
        <v>#VALUE!</v>
      </c>
      <c r="T118" s="14" t="e">
        <f ca="1">_xll.DBRW($A$1,$C118,$B118,T$3,T$1,T$2,$A118)*$D118</f>
        <v>#VALUE!</v>
      </c>
      <c r="U118" s="14" t="e">
        <f t="shared" ca="1" si="37"/>
        <v>#VALUE!</v>
      </c>
      <c r="V118" s="171" t="e">
        <f ca="1">_xll.DBRW($A$1,$C118,$B118,V$3,V$1,V$2,$A118)*$D118</f>
        <v>#VALUE!</v>
      </c>
      <c r="W118" s="14" t="e">
        <f ca="1">_xll.DBRW($A$1,$C118,$B118,W$3,W$1,W$2,$A118)*$D118</f>
        <v>#VALUE!</v>
      </c>
      <c r="X118" s="14" t="e">
        <f t="shared" ca="1" si="38"/>
        <v>#VALUE!</v>
      </c>
      <c r="Y118" s="171" t="e">
        <f ca="1">_xll.DBRW($A$1,$C118,$B118,Y$3,Y$1,Y$2,$A118)*$D118</f>
        <v>#VALUE!</v>
      </c>
      <c r="Z118" s="14" t="e">
        <f ca="1">_xll.DBRW($A$1,$C118,$B118,Z$3,Z$1,Z$2,$A118)*$D118</f>
        <v>#VALUE!</v>
      </c>
      <c r="AA118" s="14" t="e">
        <f t="shared" ca="1" si="39"/>
        <v>#VALUE!</v>
      </c>
      <c r="AB118" s="171" t="e">
        <f ca="1">_xll.DBRW($A$1,$C118,$B118,AB$3,AB$1,AB$2,$A118)*$D118</f>
        <v>#VALUE!</v>
      </c>
      <c r="AC118" s="14" t="e">
        <f ca="1">_xll.DBRW($A$1,$C118,$B118,AC$3,AC$1,AC$2,$A118)*$D118</f>
        <v>#VALUE!</v>
      </c>
      <c r="AD118" s="14" t="e">
        <f t="shared" ca="1" si="40"/>
        <v>#VALUE!</v>
      </c>
      <c r="AE118" s="171" t="e">
        <f ca="1">_xll.DBRW($A$1,$C118,$B118,AE$3,AE$1,AE$2,$A118)*$D118</f>
        <v>#VALUE!</v>
      </c>
      <c r="AF118" s="14" t="e">
        <f ca="1">_xll.DBRW($A$1,$C118,$B118,AF$3,AF$1,AF$2,$A118)*$D118</f>
        <v>#VALUE!</v>
      </c>
      <c r="AG118" s="14" t="e">
        <f t="shared" ca="1" si="41"/>
        <v>#VALUE!</v>
      </c>
      <c r="AH118" s="171" t="e">
        <f ca="1">_xll.DBRW($A$1,$C118,$B118,AH$3,AH$1,AH$2,$A118)*$D118</f>
        <v>#VALUE!</v>
      </c>
      <c r="AI118" s="14" t="e">
        <f ca="1">_xll.DBRW($A$1,$C118,$B118,AI$3,AI$1,AI$2,$A118)*$D118</f>
        <v>#VALUE!</v>
      </c>
      <c r="AJ118" s="14" t="e">
        <f t="shared" ca="1" si="42"/>
        <v>#VALUE!</v>
      </c>
      <c r="AK118" s="171" t="e">
        <f ca="1">_xll.DBRW($A$1,$C118,$B118,AK$3,AK$1,AK$2,$A118)*$D118</f>
        <v>#VALUE!</v>
      </c>
      <c r="AL118" s="14" t="e">
        <f ca="1">_xll.DBRW($A$1,$C118,$B118,AL$3,AL$1,AL$2,$A118)*$D118</f>
        <v>#VALUE!</v>
      </c>
      <c r="AM118" s="14" t="e">
        <f t="shared" ca="1" si="43"/>
        <v>#VALUE!</v>
      </c>
    </row>
    <row r="119" spans="1:39" ht="15" customHeight="1">
      <c r="A119" s="170" t="s">
        <v>322</v>
      </c>
      <c r="B119" s="169" t="s">
        <v>342</v>
      </c>
      <c r="C119" s="168" t="s">
        <v>133</v>
      </c>
      <c r="D119" s="168">
        <v>1</v>
      </c>
      <c r="E119" s="167" t="str">
        <f ca="1">_xll.DBRA("mfc:skz",B119,"Group")</f>
        <v>Clean EBITD (CCS)</v>
      </c>
      <c r="F119" s="93" t="s">
        <v>208</v>
      </c>
      <c r="G119" s="171" t="e">
        <f ca="1">_xll.DBRW($A$1,$C119,$B119,G$3,G$1,G$2,$A119)*$D119</f>
        <v>#VALUE!</v>
      </c>
      <c r="H119" s="14" t="e">
        <f ca="1">_xll.DBRW($A$1,$C119,$B119,H$3,H$1,H$2,$A119)*$D119</f>
        <v>#VALUE!</v>
      </c>
      <c r="I119" s="14" t="e">
        <f t="shared" ca="1" si="33"/>
        <v>#VALUE!</v>
      </c>
      <c r="J119" s="171" t="e">
        <f ca="1">_xll.DBRW($A$1,$C119,$B119,J$3,J$1,J$2,$A119)*$D119</f>
        <v>#VALUE!</v>
      </c>
      <c r="K119" s="14" t="e">
        <f ca="1">_xll.DBRW($A$1,$C119,$B119,K$3,K$1,K$2,$A119)*$D119</f>
        <v>#VALUE!</v>
      </c>
      <c r="L119" s="14" t="e">
        <f t="shared" ca="1" si="34"/>
        <v>#VALUE!</v>
      </c>
      <c r="M119" s="171" t="e">
        <f ca="1">_xll.DBRW($A$1,$C119,$B119,M$3,M$1,M$2,$A119)*$D119</f>
        <v>#VALUE!</v>
      </c>
      <c r="N119" s="14" t="e">
        <f ca="1">_xll.DBRW($A$1,$C119,$B119,N$3,N$1,N$2,$A119)*$D119</f>
        <v>#VALUE!</v>
      </c>
      <c r="O119" s="14" t="e">
        <f t="shared" ca="1" si="35"/>
        <v>#VALUE!</v>
      </c>
      <c r="P119" s="171" t="e">
        <f ca="1">_xll.DBRW($A$1,$C119,$B119,P$3,P$1,P$2,$A119)*$D119</f>
        <v>#VALUE!</v>
      </c>
      <c r="Q119" s="14" t="e">
        <f ca="1">_xll.DBRW($A$1,$C119,$B119,Q$3,Q$1,Q$2,$A119)*$D119</f>
        <v>#VALUE!</v>
      </c>
      <c r="R119" s="14" t="e">
        <f t="shared" ca="1" si="36"/>
        <v>#VALUE!</v>
      </c>
      <c r="S119" s="171" t="e">
        <f ca="1">_xll.DBRW($A$1,$C119,$B119,S$3,S$1,S$2,$A119)*$D119</f>
        <v>#VALUE!</v>
      </c>
      <c r="T119" s="14" t="e">
        <f ca="1">_xll.DBRW($A$1,$C119,$B119,T$3,T$1,T$2,$A119)*$D119</f>
        <v>#VALUE!</v>
      </c>
      <c r="U119" s="14" t="e">
        <f t="shared" ca="1" si="37"/>
        <v>#VALUE!</v>
      </c>
      <c r="V119" s="171" t="e">
        <f ca="1">_xll.DBRW($A$1,$C119,$B119,V$3,V$1,V$2,$A119)*$D119</f>
        <v>#VALUE!</v>
      </c>
      <c r="W119" s="14" t="e">
        <f ca="1">_xll.DBRW($A$1,$C119,$B119,W$3,W$1,W$2,$A119)*$D119</f>
        <v>#VALUE!</v>
      </c>
      <c r="X119" s="14" t="e">
        <f t="shared" ca="1" si="38"/>
        <v>#VALUE!</v>
      </c>
      <c r="Y119" s="171" t="e">
        <f ca="1">_xll.DBRW($A$1,$C119,$B119,Y$3,Y$1,Y$2,$A119)*$D119</f>
        <v>#VALUE!</v>
      </c>
      <c r="Z119" s="14" t="e">
        <f ca="1">_xll.DBRW($A$1,$C119,$B119,Z$3,Z$1,Z$2,$A119)*$D119</f>
        <v>#VALUE!</v>
      </c>
      <c r="AA119" s="14" t="e">
        <f t="shared" ca="1" si="39"/>
        <v>#VALUE!</v>
      </c>
      <c r="AB119" s="171" t="e">
        <f ca="1">_xll.DBRW($A$1,$C119,$B119,AB$3,AB$1,AB$2,$A119)*$D119</f>
        <v>#VALUE!</v>
      </c>
      <c r="AC119" s="14" t="e">
        <f ca="1">_xll.DBRW($A$1,$C119,$B119,AC$3,AC$1,AC$2,$A119)*$D119</f>
        <v>#VALUE!</v>
      </c>
      <c r="AD119" s="14" t="e">
        <f t="shared" ca="1" si="40"/>
        <v>#VALUE!</v>
      </c>
      <c r="AE119" s="171" t="e">
        <f ca="1">_xll.DBRW($A$1,$C119,$B119,AE$3,AE$1,AE$2,$A119)*$D119</f>
        <v>#VALUE!</v>
      </c>
      <c r="AF119" s="14" t="e">
        <f ca="1">_xll.DBRW($A$1,$C119,$B119,AF$3,AF$1,AF$2,$A119)*$D119</f>
        <v>#VALUE!</v>
      </c>
      <c r="AG119" s="14" t="e">
        <f t="shared" ca="1" si="41"/>
        <v>#VALUE!</v>
      </c>
      <c r="AH119" s="171" t="e">
        <f ca="1">_xll.DBRW($A$1,$C119,$B119,AH$3,AH$1,AH$2,$A119)*$D119</f>
        <v>#VALUE!</v>
      </c>
      <c r="AI119" s="14" t="e">
        <f ca="1">_xll.DBRW($A$1,$C119,$B119,AI$3,AI$1,AI$2,$A119)*$D119</f>
        <v>#VALUE!</v>
      </c>
      <c r="AJ119" s="14" t="e">
        <f t="shared" ca="1" si="42"/>
        <v>#VALUE!</v>
      </c>
      <c r="AK119" s="171" t="e">
        <f ca="1">_xll.DBRW($A$1,$C119,$B119,AK$3,AK$1,AK$2,$A119)*$D119</f>
        <v>#VALUE!</v>
      </c>
      <c r="AL119" s="14" t="e">
        <f ca="1">_xll.DBRW($A$1,$C119,$B119,AL$3,AL$1,AL$2,$A119)*$D119</f>
        <v>#VALUE!</v>
      </c>
      <c r="AM119" s="14" t="e">
        <f t="shared" ca="1" si="43"/>
        <v>#VALUE!</v>
      </c>
    </row>
    <row r="120" spans="1:39" ht="15" customHeight="1" thickBot="1">
      <c r="A120" s="170" t="s">
        <v>322</v>
      </c>
      <c r="B120" s="169" t="s">
        <v>329</v>
      </c>
      <c r="C120" s="168" t="s">
        <v>133</v>
      </c>
      <c r="D120" s="168">
        <v>1</v>
      </c>
      <c r="E120" s="167" t="str">
        <f ca="1">_xll.DBRA("mfc:skz",B120,"Group")</f>
        <v>CAPEX</v>
      </c>
      <c r="F120" s="41" t="s">
        <v>140</v>
      </c>
      <c r="G120" s="171" t="e">
        <f ca="1">_xll.DBRW($A$1,$C120,$B120,G$3,G$1,G$2,$A120)*$D120</f>
        <v>#VALUE!</v>
      </c>
      <c r="H120" s="14" t="e">
        <f ca="1">_xll.DBRW($A$1,$C120,$B120,H$3,H$1,H$2,$A120)*$D120</f>
        <v>#VALUE!</v>
      </c>
      <c r="I120" s="14" t="e">
        <f t="shared" ca="1" si="33"/>
        <v>#VALUE!</v>
      </c>
      <c r="J120" s="171" t="e">
        <f ca="1">_xll.DBRW($A$1,$C120,$B120,J$3,J$1,J$2,$A120)*$D120</f>
        <v>#VALUE!</v>
      </c>
      <c r="K120" s="14" t="e">
        <f ca="1">_xll.DBRW($A$1,$C120,$B120,K$3,K$1,K$2,$A120)*$D120</f>
        <v>#VALUE!</v>
      </c>
      <c r="L120" s="14" t="e">
        <f t="shared" ca="1" si="34"/>
        <v>#VALUE!</v>
      </c>
      <c r="M120" s="171" t="e">
        <f ca="1">_xll.DBRW($A$1,$C120,$B120,M$3,M$1,M$2,$A120)*$D120</f>
        <v>#VALUE!</v>
      </c>
      <c r="N120" s="14" t="e">
        <f ca="1">_xll.DBRW($A$1,$C120,$B120,N$3,N$1,N$2,$A120)*$D120</f>
        <v>#VALUE!</v>
      </c>
      <c r="O120" s="14" t="e">
        <f t="shared" ca="1" si="35"/>
        <v>#VALUE!</v>
      </c>
      <c r="P120" s="171" t="e">
        <f ca="1">_xll.DBRW($A$1,$C120,$B120,P$3,P$1,P$2,$A120)*$D120</f>
        <v>#VALUE!</v>
      </c>
      <c r="Q120" s="14" t="e">
        <f ca="1">_xll.DBRW($A$1,$C120,$B120,Q$3,Q$1,Q$2,$A120)*$D120</f>
        <v>#VALUE!</v>
      </c>
      <c r="R120" s="14" t="e">
        <f t="shared" ca="1" si="36"/>
        <v>#VALUE!</v>
      </c>
      <c r="S120" s="171" t="e">
        <f ca="1">_xll.DBRW($A$1,$C120,$B120,S$3,S$1,S$2,$A120)*$D120</f>
        <v>#VALUE!</v>
      </c>
      <c r="T120" s="14" t="e">
        <f ca="1">_xll.DBRW($A$1,$C120,$B120,T$3,T$1,T$2,$A120)*$D120</f>
        <v>#VALUE!</v>
      </c>
      <c r="U120" s="14" t="e">
        <f t="shared" ca="1" si="37"/>
        <v>#VALUE!</v>
      </c>
      <c r="V120" s="171" t="e">
        <f ca="1">_xll.DBRW($A$1,$C120,$B120,V$3,V$1,V$2,$A120)*$D120</f>
        <v>#VALUE!</v>
      </c>
      <c r="W120" s="14" t="e">
        <f ca="1">_xll.DBRW($A$1,$C120,$B120,W$3,W$1,W$2,$A120)*$D120</f>
        <v>#VALUE!</v>
      </c>
      <c r="X120" s="14" t="e">
        <f t="shared" ca="1" si="38"/>
        <v>#VALUE!</v>
      </c>
      <c r="Y120" s="171" t="e">
        <f ca="1">_xll.DBRW($A$1,$C120,$B120,Y$3,Y$1,Y$2,$A120)*$D120</f>
        <v>#VALUE!</v>
      </c>
      <c r="Z120" s="14" t="e">
        <f ca="1">_xll.DBRW($A$1,$C120,$B120,Z$3,Z$1,Z$2,$A120)*$D120</f>
        <v>#VALUE!</v>
      </c>
      <c r="AA120" s="14" t="e">
        <f t="shared" ca="1" si="39"/>
        <v>#VALUE!</v>
      </c>
      <c r="AB120" s="171" t="e">
        <f ca="1">_xll.DBRW($A$1,$C120,$B120,AB$3,AB$1,AB$2,$A120)*$D120</f>
        <v>#VALUE!</v>
      </c>
      <c r="AC120" s="14" t="e">
        <f ca="1">_xll.DBRW($A$1,$C120,$B120,AC$3,AC$1,AC$2,$A120)*$D120</f>
        <v>#VALUE!</v>
      </c>
      <c r="AD120" s="14" t="e">
        <f t="shared" ca="1" si="40"/>
        <v>#VALUE!</v>
      </c>
      <c r="AE120" s="171" t="e">
        <f ca="1">_xll.DBRW($A$1,$C120,$B120,AE$3,AE$1,AE$2,$A120)*$D120</f>
        <v>#VALUE!</v>
      </c>
      <c r="AF120" s="14" t="e">
        <f ca="1">_xll.DBRW($A$1,$C120,$B120,AF$3,AF$1,AF$2,$A120)*$D120</f>
        <v>#VALUE!</v>
      </c>
      <c r="AG120" s="14" t="e">
        <f t="shared" ca="1" si="41"/>
        <v>#VALUE!</v>
      </c>
      <c r="AH120" s="171" t="e">
        <f ca="1">_xll.DBRW($A$1,$C120,$B120,AH$3,AH$1,AH$2,$A120)*$D120</f>
        <v>#VALUE!</v>
      </c>
      <c r="AI120" s="14" t="e">
        <f ca="1">_xll.DBRW($A$1,$C120,$B120,AI$3,AI$1,AI$2,$A120)*$D120</f>
        <v>#VALUE!</v>
      </c>
      <c r="AJ120" s="14" t="e">
        <f t="shared" ca="1" si="42"/>
        <v>#VALUE!</v>
      </c>
      <c r="AK120" s="171" t="e">
        <f ca="1">_xll.DBRW($A$1,$C120,$B120,AK$3,AK$1,AK$2,$A120)*$D120</f>
        <v>#VALUE!</v>
      </c>
      <c r="AL120" s="14" t="e">
        <f ca="1">_xll.DBRW($A$1,$C120,$B120,AL$3,AL$1,AL$2,$A120)*$D120</f>
        <v>#VALUE!</v>
      </c>
      <c r="AM120" s="14" t="e">
        <f t="shared" ca="1" si="43"/>
        <v>#VALUE!</v>
      </c>
    </row>
    <row r="121" spans="1:39" ht="15" customHeight="1" thickTop="1" thickBot="1">
      <c r="A121" s="170"/>
      <c r="B121" s="169"/>
      <c r="C121" s="168"/>
      <c r="D121" s="168"/>
      <c r="E121" s="167"/>
      <c r="F121" s="164"/>
      <c r="G121" s="191"/>
      <c r="H121" s="24"/>
      <c r="I121" s="24"/>
      <c r="J121" s="191"/>
      <c r="K121" s="24"/>
      <c r="L121" s="24"/>
      <c r="M121" s="191"/>
      <c r="N121" s="24"/>
      <c r="O121" s="24"/>
      <c r="P121" s="191"/>
      <c r="Q121" s="24"/>
      <c r="R121" s="24"/>
      <c r="S121" s="191"/>
      <c r="T121" s="24"/>
      <c r="U121" s="24"/>
      <c r="V121" s="191"/>
      <c r="W121" s="24"/>
      <c r="X121" s="24"/>
      <c r="Y121" s="191"/>
      <c r="Z121" s="24"/>
      <c r="AA121" s="24"/>
      <c r="AB121" s="191"/>
      <c r="AC121" s="24"/>
      <c r="AD121" s="24"/>
      <c r="AE121" s="191"/>
      <c r="AF121" s="24"/>
      <c r="AG121" s="24"/>
      <c r="AH121" s="191"/>
      <c r="AI121" s="24"/>
      <c r="AJ121" s="24"/>
      <c r="AK121" s="191"/>
      <c r="AL121" s="24"/>
      <c r="AM121" s="24"/>
    </row>
    <row r="122" spans="1:39" ht="15" customHeight="1" thickTop="1">
      <c r="A122" s="170"/>
      <c r="B122" s="169"/>
      <c r="C122" s="168"/>
      <c r="D122" s="168"/>
      <c r="E122" s="167"/>
      <c r="F122" s="164"/>
      <c r="G122" s="191"/>
      <c r="H122" s="24"/>
      <c r="I122" s="24"/>
      <c r="J122" s="191"/>
      <c r="K122" s="24"/>
      <c r="L122" s="24"/>
      <c r="M122" s="191"/>
      <c r="N122" s="24"/>
      <c r="O122" s="24"/>
      <c r="P122" s="191"/>
      <c r="Q122" s="24"/>
      <c r="R122" s="24"/>
      <c r="S122" s="191"/>
      <c r="T122" s="24"/>
      <c r="U122" s="24"/>
      <c r="V122" s="191"/>
      <c r="W122" s="24"/>
      <c r="X122" s="24"/>
      <c r="Y122" s="191"/>
      <c r="Z122" s="24"/>
      <c r="AA122" s="24"/>
      <c r="AB122" s="191"/>
      <c r="AC122" s="24"/>
      <c r="AD122" s="24"/>
      <c r="AE122" s="191"/>
      <c r="AF122" s="24"/>
      <c r="AG122" s="24"/>
      <c r="AH122" s="191"/>
      <c r="AI122" s="24"/>
      <c r="AJ122" s="24"/>
      <c r="AK122" s="191"/>
      <c r="AL122" s="24"/>
      <c r="AM122" s="24"/>
    </row>
    <row r="123" spans="1:39" ht="15" customHeight="1">
      <c r="A123" s="170"/>
      <c r="B123" s="169"/>
      <c r="C123" s="168"/>
      <c r="D123" s="168"/>
      <c r="E123" s="167"/>
      <c r="F123" s="196" t="s">
        <v>179</v>
      </c>
      <c r="G123" s="196"/>
      <c r="H123" s="196"/>
      <c r="I123" s="196"/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  <c r="V123" s="196"/>
      <c r="W123" s="196"/>
      <c r="X123" s="196"/>
      <c r="Y123" s="196"/>
      <c r="Z123" s="196"/>
      <c r="AA123" s="196"/>
      <c r="AB123" s="196"/>
      <c r="AC123" s="196"/>
      <c r="AD123" s="196"/>
      <c r="AE123" s="196"/>
      <c r="AF123" s="196"/>
      <c r="AG123" s="196"/>
      <c r="AH123" s="196"/>
      <c r="AI123" s="196"/>
      <c r="AJ123" s="196"/>
      <c r="AK123" s="196"/>
      <c r="AL123" s="196"/>
      <c r="AM123" s="196"/>
    </row>
    <row r="124" spans="1:39" ht="15" customHeight="1" thickBot="1">
      <c r="A124" s="170"/>
      <c r="B124" s="169"/>
      <c r="C124" s="168"/>
      <c r="D124" s="168"/>
      <c r="E124" s="167"/>
      <c r="F124" s="26" t="s">
        <v>287</v>
      </c>
      <c r="G124" s="172"/>
      <c r="H124" s="9"/>
      <c r="I124" s="9"/>
      <c r="J124" s="172"/>
      <c r="K124" s="9"/>
      <c r="L124" s="9"/>
      <c r="M124" s="172"/>
      <c r="N124" s="9"/>
      <c r="O124" s="9"/>
      <c r="P124" s="172"/>
      <c r="Q124" s="9"/>
      <c r="R124" s="9"/>
      <c r="S124" s="172"/>
      <c r="T124" s="9"/>
      <c r="U124" s="9"/>
      <c r="V124" s="172"/>
      <c r="W124" s="9"/>
      <c r="X124" s="9"/>
      <c r="Y124" s="172"/>
      <c r="Z124" s="9"/>
      <c r="AA124" s="9"/>
      <c r="AB124" s="172"/>
      <c r="AC124" s="9"/>
      <c r="AD124" s="9"/>
      <c r="AE124" s="172"/>
      <c r="AF124" s="9"/>
      <c r="AG124" s="9"/>
      <c r="AH124" s="172"/>
      <c r="AI124" s="9"/>
      <c r="AJ124" s="9"/>
      <c r="AK124" s="172"/>
      <c r="AL124" s="9"/>
      <c r="AM124" s="9"/>
    </row>
    <row r="125" spans="1:39" ht="15" customHeight="1" thickTop="1">
      <c r="A125" s="170" t="s">
        <v>340</v>
      </c>
      <c r="B125" s="169" t="s">
        <v>334</v>
      </c>
      <c r="C125" s="168" t="s">
        <v>133</v>
      </c>
      <c r="D125" s="168">
        <v>1</v>
      </c>
      <c r="E125" s="167" t="str">
        <f ca="1">_xll.DBRA("mfc:skz",B125,"Group")</f>
        <v>EBIT</v>
      </c>
      <c r="F125" s="195" t="s">
        <v>0</v>
      </c>
      <c r="G125" s="171" t="e">
        <f ca="1">_xll.DBRW($A$1,$C125,$B125,G$3,G$1,G$2,$A125)*$D125</f>
        <v>#VALUE!</v>
      </c>
      <c r="H125" s="14" t="e">
        <f ca="1">_xll.DBRW($A$1,$C125,$B125,H$3,H$1,H$2,$A125)*$D125</f>
        <v>#VALUE!</v>
      </c>
      <c r="I125" s="14" t="e">
        <f ca="1">+G125-H125</f>
        <v>#VALUE!</v>
      </c>
      <c r="J125" s="171" t="e">
        <f ca="1">_xll.DBRW($A$1,$C125,$B125,J$3,J$1,J$2,$A125)*$D125</f>
        <v>#VALUE!</v>
      </c>
      <c r="K125" s="14" t="e">
        <f ca="1">_xll.DBRW($A$1,$C125,$B125,K$3,K$1,K$2,$A125)*$D125</f>
        <v>#VALUE!</v>
      </c>
      <c r="L125" s="14" t="e">
        <f ca="1">+J125-K125</f>
        <v>#VALUE!</v>
      </c>
      <c r="M125" s="171" t="e">
        <f ca="1">_xll.DBRW($A$1,$C125,$B125,M$3,M$1,M$2,$A125)*$D125</f>
        <v>#VALUE!</v>
      </c>
      <c r="N125" s="14" t="e">
        <f ca="1">_xll.DBRW($A$1,$C125,$B125,N$3,N$1,N$2,$A125)*$D125</f>
        <v>#VALUE!</v>
      </c>
      <c r="O125" s="14" t="e">
        <f ca="1">+M125-N125</f>
        <v>#VALUE!</v>
      </c>
      <c r="P125" s="171" t="e">
        <f ca="1">_xll.DBRW($A$1,$C125,$B125,P$3,P$1,P$2,$A125)*$D125</f>
        <v>#VALUE!</v>
      </c>
      <c r="Q125" s="14" t="e">
        <f ca="1">_xll.DBRW($A$1,$C125,$B125,Q$3,Q$1,Q$2,$A125)*$D125</f>
        <v>#VALUE!</v>
      </c>
      <c r="R125" s="14" t="e">
        <f ca="1">+P125-Q125</f>
        <v>#VALUE!</v>
      </c>
      <c r="S125" s="171" t="e">
        <f ca="1">_xll.DBRW($A$1,$C125,$B125,S$3,S$1,S$2,$A125)*$D125</f>
        <v>#VALUE!</v>
      </c>
      <c r="T125" s="14" t="e">
        <f ca="1">_xll.DBRW($A$1,$C125,$B125,T$3,T$1,T$2,$A125)*$D125</f>
        <v>#VALUE!</v>
      </c>
      <c r="U125" s="14" t="e">
        <f ca="1">+S125-T125</f>
        <v>#VALUE!</v>
      </c>
      <c r="V125" s="171" t="e">
        <f ca="1">_xll.DBRW($A$1,$C125,$B125,V$3,V$1,V$2,$A125)*$D125</f>
        <v>#VALUE!</v>
      </c>
      <c r="W125" s="14" t="e">
        <f ca="1">_xll.DBRW($A$1,$C125,$B125,W$3,W$1,W$2,$A125)*$D125</f>
        <v>#VALUE!</v>
      </c>
      <c r="X125" s="14" t="e">
        <f ca="1">+V125-W125</f>
        <v>#VALUE!</v>
      </c>
      <c r="Y125" s="171" t="e">
        <f ca="1">_xll.DBRW($A$1,$C125,$B125,Y$3,Y$1,Y$2,$A125)*$D125</f>
        <v>#VALUE!</v>
      </c>
      <c r="Z125" s="14" t="e">
        <f ca="1">_xll.DBRW($A$1,$C125,$B125,Z$3,Z$1,Z$2,$A125)*$D125</f>
        <v>#VALUE!</v>
      </c>
      <c r="AA125" s="14" t="e">
        <f ca="1">+Y125-Z125</f>
        <v>#VALUE!</v>
      </c>
      <c r="AB125" s="171" t="e">
        <f ca="1">_xll.DBRW($A$1,$C125,$B125,AB$3,AB$1,AB$2,$A125)*$D125</f>
        <v>#VALUE!</v>
      </c>
      <c r="AC125" s="14" t="e">
        <f ca="1">_xll.DBRW($A$1,$C125,$B125,AC$3,AC$1,AC$2,$A125)*$D125</f>
        <v>#VALUE!</v>
      </c>
      <c r="AD125" s="14" t="e">
        <f ca="1">+AB125-AC125</f>
        <v>#VALUE!</v>
      </c>
      <c r="AE125" s="171" t="e">
        <f ca="1">_xll.DBRW($A$1,$C125,$B125,AE$3,AE$1,AE$2,$A125)*$D125</f>
        <v>#VALUE!</v>
      </c>
      <c r="AF125" s="14" t="e">
        <f ca="1">_xll.DBRW($A$1,$C125,$B125,AF$3,AF$1,AF$2,$A125)*$D125</f>
        <v>#VALUE!</v>
      </c>
      <c r="AG125" s="14" t="e">
        <f ca="1">+AE125-AF125</f>
        <v>#VALUE!</v>
      </c>
      <c r="AH125" s="171" t="e">
        <f ca="1">_xll.DBRW($A$1,$C125,$B125,AH$3,AH$1,AH$2,$A125)*$D125</f>
        <v>#VALUE!</v>
      </c>
      <c r="AI125" s="14" t="e">
        <f ca="1">_xll.DBRW($A$1,$C125,$B125,AI$3,AI$1,AI$2,$A125)*$D125</f>
        <v>#VALUE!</v>
      </c>
      <c r="AJ125" s="14" t="e">
        <f ca="1">+AH125-AI125</f>
        <v>#VALUE!</v>
      </c>
      <c r="AK125" s="171" t="e">
        <f ca="1">_xll.DBRW($A$1,$C125,$B125,AK$3,AK$1,AK$2,$A125)*$D125</f>
        <v>#VALUE!</v>
      </c>
      <c r="AL125" s="14" t="e">
        <f ca="1">_xll.DBRW($A$1,$C125,$B125,AL$3,AL$1,AL$2,$A125)*$D125</f>
        <v>#VALUE!</v>
      </c>
      <c r="AM125" s="14" t="e">
        <f ca="1">+AK125-AL125</f>
        <v>#VALUE!</v>
      </c>
    </row>
    <row r="126" spans="1:39" ht="15" customHeight="1">
      <c r="A126" s="170" t="s">
        <v>340</v>
      </c>
      <c r="B126" s="169" t="s">
        <v>341</v>
      </c>
      <c r="C126" s="168" t="s">
        <v>133</v>
      </c>
      <c r="D126" s="168">
        <v>-1</v>
      </c>
      <c r="E126" s="167" t="str">
        <f ca="1">_xll.DBRA("mfc:skz",B126,"Group")</f>
        <v>Exeptional items &amp; accounting changes</v>
      </c>
      <c r="F126" s="194" t="s">
        <v>11</v>
      </c>
      <c r="G126" s="193" t="e">
        <f ca="1">_xll.DBRW($A$1,$C126,$B126,G$3,G$1,G$2,$A126)*$D126</f>
        <v>#VALUE!</v>
      </c>
      <c r="H126" s="192" t="e">
        <f ca="1">_xll.DBRW($A$1,$C126,$B126,H$3,H$1,H$2,$A126)*$D126</f>
        <v>#VALUE!</v>
      </c>
      <c r="I126" s="192" t="e">
        <f ca="1">+G126-H126</f>
        <v>#VALUE!</v>
      </c>
      <c r="J126" s="193" t="e">
        <f ca="1">_xll.DBRW($A$1,$C126,$B126,J$3,J$1,J$2,$A126)*$D126</f>
        <v>#VALUE!</v>
      </c>
      <c r="K126" s="192" t="e">
        <f ca="1">_xll.DBRW($A$1,$C126,$B126,K$3,K$1,K$2,$A126)*$D126</f>
        <v>#VALUE!</v>
      </c>
      <c r="L126" s="192" t="e">
        <f ca="1">+J126-K126</f>
        <v>#VALUE!</v>
      </c>
      <c r="M126" s="193" t="e">
        <f ca="1">_xll.DBRW($A$1,$C126,$B126,M$3,M$1,M$2,$A126)*$D126</f>
        <v>#VALUE!</v>
      </c>
      <c r="N126" s="192" t="e">
        <f ca="1">_xll.DBRW($A$1,$C126,$B126,N$3,N$1,N$2,$A126)*$D126</f>
        <v>#VALUE!</v>
      </c>
      <c r="O126" s="192" t="e">
        <f ca="1">+M126-N126</f>
        <v>#VALUE!</v>
      </c>
      <c r="P126" s="193" t="e">
        <f ca="1">_xll.DBRW($A$1,$C126,$B126,P$3,P$1,P$2,$A126)*$D126</f>
        <v>#VALUE!</v>
      </c>
      <c r="Q126" s="192" t="e">
        <f ca="1">_xll.DBRW($A$1,$C126,$B126,Q$3,Q$1,Q$2,$A126)*$D126</f>
        <v>#VALUE!</v>
      </c>
      <c r="R126" s="192" t="e">
        <f ca="1">+P126-Q126</f>
        <v>#VALUE!</v>
      </c>
      <c r="S126" s="193" t="e">
        <f ca="1">_xll.DBRW($A$1,$C126,$B126,S$3,S$1,S$2,$A126)*$D126</f>
        <v>#VALUE!</v>
      </c>
      <c r="T126" s="192" t="e">
        <f ca="1">_xll.DBRW($A$1,$C126,$B126,T$3,T$1,T$2,$A126)*$D126</f>
        <v>#VALUE!</v>
      </c>
      <c r="U126" s="192" t="e">
        <f ca="1">+S126-T126</f>
        <v>#VALUE!</v>
      </c>
      <c r="V126" s="193" t="e">
        <f ca="1">_xll.DBRW($A$1,$C126,$B126,V$3,V$1,V$2,$A126)*$D126</f>
        <v>#VALUE!</v>
      </c>
      <c r="W126" s="192" t="e">
        <f ca="1">_xll.DBRW($A$1,$C126,$B126,W$3,W$1,W$2,$A126)*$D126</f>
        <v>#VALUE!</v>
      </c>
      <c r="X126" s="192" t="e">
        <f ca="1">+V126-W126</f>
        <v>#VALUE!</v>
      </c>
      <c r="Y126" s="193" t="e">
        <f ca="1">_xll.DBRW($A$1,$C126,$B126,Y$3,Y$1,Y$2,$A126)*$D126</f>
        <v>#VALUE!</v>
      </c>
      <c r="Z126" s="192" t="e">
        <f ca="1">_xll.DBRW($A$1,$C126,$B126,Z$3,Z$1,Z$2,$A126)*$D126</f>
        <v>#VALUE!</v>
      </c>
      <c r="AA126" s="192" t="e">
        <f ca="1">+Y126-Z126</f>
        <v>#VALUE!</v>
      </c>
      <c r="AB126" s="193" t="e">
        <f ca="1">_xll.DBRW($A$1,$C126,$B126,AB$3,AB$1,AB$2,$A126)*$D126</f>
        <v>#VALUE!</v>
      </c>
      <c r="AC126" s="192" t="e">
        <f ca="1">_xll.DBRW($A$1,$C126,$B126,AC$3,AC$1,AC$2,$A126)*$D126</f>
        <v>#VALUE!</v>
      </c>
      <c r="AD126" s="192" t="e">
        <f ca="1">+AB126-AC126</f>
        <v>#VALUE!</v>
      </c>
      <c r="AE126" s="193" t="e">
        <f ca="1">_xll.DBRW($A$1,$C126,$B126,AE$3,AE$1,AE$2,$A126)*$D126</f>
        <v>#VALUE!</v>
      </c>
      <c r="AF126" s="192" t="e">
        <f ca="1">_xll.DBRW($A$1,$C126,$B126,AF$3,AF$1,AF$2,$A126)*$D126</f>
        <v>#VALUE!</v>
      </c>
      <c r="AG126" s="192" t="e">
        <f ca="1">+AE126-AF126</f>
        <v>#VALUE!</v>
      </c>
      <c r="AH126" s="193" t="e">
        <f ca="1">_xll.DBRW($A$1,$C126,$B126,AH$3,AH$1,AH$2,$A126)*$D126</f>
        <v>#VALUE!</v>
      </c>
      <c r="AI126" s="192" t="e">
        <f ca="1">_xll.DBRW($A$1,$C126,$B126,AI$3,AI$1,AI$2,$A126)*$D126</f>
        <v>#VALUE!</v>
      </c>
      <c r="AJ126" s="192" t="e">
        <f ca="1">+AH126-AI126</f>
        <v>#VALUE!</v>
      </c>
      <c r="AK126" s="193" t="e">
        <f ca="1">_xll.DBRW($A$1,$C126,$B126,AK$3,AK$1,AK$2,$A126)*$D126</f>
        <v>#VALUE!</v>
      </c>
      <c r="AL126" s="192" t="e">
        <f ca="1">_xll.DBRW($A$1,$C126,$B126,AL$3,AL$1,AL$2,$A126)*$D126</f>
        <v>#VALUE!</v>
      </c>
      <c r="AM126" s="192" t="e">
        <f ca="1">+AK126-AL126</f>
        <v>#VALUE!</v>
      </c>
    </row>
    <row r="127" spans="1:39" ht="15" customHeight="1" thickBot="1">
      <c r="A127" s="170" t="s">
        <v>340</v>
      </c>
      <c r="B127" s="169" t="s">
        <v>339</v>
      </c>
      <c r="C127" s="168" t="s">
        <v>133</v>
      </c>
      <c r="D127" s="168">
        <v>1</v>
      </c>
      <c r="E127" s="167" t="str">
        <f ca="1">_xll.DBRA("mfc:skz",B127,"Group")</f>
        <v>Clean EBIT CCS</v>
      </c>
      <c r="F127" s="41" t="s">
        <v>1</v>
      </c>
      <c r="G127" s="171" t="e">
        <f ca="1">_xll.DBRW($A$1,$C127,$B127,G$3,G$1,G$2,$A127)*$D127</f>
        <v>#VALUE!</v>
      </c>
      <c r="H127" s="14" t="e">
        <f ca="1">_xll.DBRW($A$1,$C127,$B127,H$3,H$1,H$2,$A127)*$D127</f>
        <v>#VALUE!</v>
      </c>
      <c r="I127" s="14" t="e">
        <f ca="1">+G127-H127</f>
        <v>#VALUE!</v>
      </c>
      <c r="J127" s="171" t="e">
        <f ca="1">_xll.DBRW($A$1,$C127,$B127,J$3,J$1,J$2,$A127)*$D127</f>
        <v>#VALUE!</v>
      </c>
      <c r="K127" s="14" t="e">
        <f ca="1">_xll.DBRW($A$1,$C127,$B127,K$3,K$1,K$2,$A127)*$D127</f>
        <v>#VALUE!</v>
      </c>
      <c r="L127" s="14" t="e">
        <f ca="1">+J127-K127</f>
        <v>#VALUE!</v>
      </c>
      <c r="M127" s="171" t="e">
        <f ca="1">_xll.DBRW($A$1,$C127,$B127,M$3,M$1,M$2,$A127)*$D127</f>
        <v>#VALUE!</v>
      </c>
      <c r="N127" s="14" t="e">
        <f ca="1">_xll.DBRW($A$1,$C127,$B127,N$3,N$1,N$2,$A127)*$D127</f>
        <v>#VALUE!</v>
      </c>
      <c r="O127" s="14" t="e">
        <f ca="1">+M127-N127</f>
        <v>#VALUE!</v>
      </c>
      <c r="P127" s="171" t="e">
        <f ca="1">_xll.DBRW($A$1,$C127,$B127,P$3,P$1,P$2,$A127)*$D127</f>
        <v>#VALUE!</v>
      </c>
      <c r="Q127" s="14" t="e">
        <f ca="1">_xll.DBRW($A$1,$C127,$B127,Q$3,Q$1,Q$2,$A127)*$D127</f>
        <v>#VALUE!</v>
      </c>
      <c r="R127" s="14" t="e">
        <f ca="1">+P127-Q127</f>
        <v>#VALUE!</v>
      </c>
      <c r="S127" s="171" t="e">
        <f ca="1">_xll.DBRW($A$1,$C127,$B127,S$3,S$1,S$2,$A127)*$D127</f>
        <v>#VALUE!</v>
      </c>
      <c r="T127" s="14" t="e">
        <f ca="1">_xll.DBRW($A$1,$C127,$B127,T$3,T$1,T$2,$A127)*$D127</f>
        <v>#VALUE!</v>
      </c>
      <c r="U127" s="14" t="e">
        <f ca="1">+S127-T127</f>
        <v>#VALUE!</v>
      </c>
      <c r="V127" s="171" t="e">
        <f ca="1">_xll.DBRW($A$1,$C127,$B127,V$3,V$1,V$2,$A127)*$D127</f>
        <v>#VALUE!</v>
      </c>
      <c r="W127" s="14" t="e">
        <f ca="1">_xll.DBRW($A$1,$C127,$B127,W$3,W$1,W$2,$A127)*$D127</f>
        <v>#VALUE!</v>
      </c>
      <c r="X127" s="14" t="e">
        <f ca="1">+V127-W127</f>
        <v>#VALUE!</v>
      </c>
      <c r="Y127" s="171" t="e">
        <f ca="1">_xll.DBRW($A$1,$C127,$B127,Y$3,Y$1,Y$2,$A127)*$D127</f>
        <v>#VALUE!</v>
      </c>
      <c r="Z127" s="14" t="e">
        <f ca="1">_xll.DBRW($A$1,$C127,$B127,Z$3,Z$1,Z$2,$A127)*$D127</f>
        <v>#VALUE!</v>
      </c>
      <c r="AA127" s="14" t="e">
        <f ca="1">+Y127-Z127</f>
        <v>#VALUE!</v>
      </c>
      <c r="AB127" s="171" t="e">
        <f ca="1">_xll.DBRW($A$1,$C127,$B127,AB$3,AB$1,AB$2,$A127)*$D127</f>
        <v>#VALUE!</v>
      </c>
      <c r="AC127" s="14" t="e">
        <f ca="1">_xll.DBRW($A$1,$C127,$B127,AC$3,AC$1,AC$2,$A127)*$D127</f>
        <v>#VALUE!</v>
      </c>
      <c r="AD127" s="14" t="e">
        <f ca="1">+AB127-AC127</f>
        <v>#VALUE!</v>
      </c>
      <c r="AE127" s="171" t="e">
        <f ca="1">_xll.DBRW($A$1,$C127,$B127,AE$3,AE$1,AE$2,$A127)*$D127</f>
        <v>#VALUE!</v>
      </c>
      <c r="AF127" s="14" t="e">
        <f ca="1">_xll.DBRW($A$1,$C127,$B127,AF$3,AF$1,AF$2,$A127)*$D127</f>
        <v>#VALUE!</v>
      </c>
      <c r="AG127" s="14" t="e">
        <f ca="1">+AE127-AF127</f>
        <v>#VALUE!</v>
      </c>
      <c r="AH127" s="171" t="e">
        <f ca="1">_xll.DBRW($A$1,$C127,$B127,AH$3,AH$1,AH$2,$A127)*$D127</f>
        <v>#VALUE!</v>
      </c>
      <c r="AI127" s="14" t="e">
        <f ca="1">_xll.DBRW($A$1,$C127,$B127,AI$3,AI$1,AI$2,$A127)*$D127</f>
        <v>#VALUE!</v>
      </c>
      <c r="AJ127" s="14" t="e">
        <f ca="1">+AH127-AI127</f>
        <v>#VALUE!</v>
      </c>
      <c r="AK127" s="171" t="e">
        <f ca="1">_xll.DBRW($A$1,$C127,$B127,AK$3,AK$1,AK$2,$A127)*$D127</f>
        <v>#VALUE!</v>
      </c>
      <c r="AL127" s="14" t="e">
        <f ca="1">_xll.DBRW($A$1,$C127,$B127,AL$3,AL$1,AL$2,$A127)*$D127</f>
        <v>#VALUE!</v>
      </c>
      <c r="AM127" s="14" t="e">
        <f ca="1">+AK127-AL127</f>
        <v>#VALUE!</v>
      </c>
    </row>
    <row r="128" spans="1:39" ht="15" customHeight="1" thickTop="1">
      <c r="A128" s="170"/>
      <c r="B128" s="169"/>
      <c r="C128" s="168"/>
      <c r="D128" s="168"/>
      <c r="E128" s="167"/>
      <c r="F128" s="164"/>
      <c r="G128" s="191"/>
      <c r="H128" s="24"/>
      <c r="I128" s="24"/>
      <c r="J128" s="191"/>
      <c r="K128" s="24"/>
      <c r="L128" s="24"/>
      <c r="M128" s="191"/>
      <c r="N128" s="24"/>
      <c r="O128" s="24"/>
      <c r="P128" s="191"/>
      <c r="Q128" s="24"/>
      <c r="R128" s="24"/>
      <c r="S128" s="191"/>
      <c r="T128" s="24"/>
      <c r="U128" s="24"/>
      <c r="V128" s="191"/>
      <c r="W128" s="24"/>
      <c r="X128" s="24"/>
      <c r="Y128" s="191"/>
      <c r="Z128" s="24"/>
      <c r="AA128" s="24"/>
      <c r="AB128" s="191"/>
      <c r="AC128" s="24"/>
      <c r="AD128" s="24"/>
      <c r="AE128" s="191"/>
      <c r="AF128" s="24"/>
      <c r="AG128" s="24"/>
      <c r="AH128" s="191"/>
      <c r="AI128" s="24"/>
      <c r="AJ128" s="24"/>
      <c r="AK128" s="191"/>
      <c r="AL128" s="24"/>
      <c r="AM128" s="24"/>
    </row>
    <row r="129" spans="1:39" ht="15" customHeight="1">
      <c r="A129" s="170"/>
      <c r="B129" s="169"/>
      <c r="C129" s="168"/>
      <c r="D129" s="168"/>
      <c r="E129" s="167"/>
      <c r="F129" s="104"/>
      <c r="G129" s="190"/>
      <c r="H129" s="190"/>
      <c r="I129" s="190"/>
      <c r="L129" s="190"/>
      <c r="O129" s="190"/>
      <c r="R129" s="190"/>
      <c r="U129" s="190"/>
      <c r="X129" s="190"/>
      <c r="AA129" s="190"/>
      <c r="AD129" s="190"/>
      <c r="AG129" s="190"/>
      <c r="AJ129" s="190"/>
      <c r="AM129" s="190"/>
    </row>
    <row r="130" spans="1:39" ht="30" customHeight="1">
      <c r="A130" s="170"/>
      <c r="B130" s="169"/>
      <c r="C130" s="168"/>
      <c r="D130" s="168"/>
      <c r="E130" s="167"/>
      <c r="F130" s="40" t="s">
        <v>41</v>
      </c>
    </row>
    <row r="131" spans="1:39" ht="15" customHeight="1" thickBot="1">
      <c r="A131" s="170"/>
      <c r="B131" s="169"/>
      <c r="C131" s="168"/>
      <c r="D131" s="168"/>
      <c r="E131" s="167"/>
      <c r="F131" s="26" t="s">
        <v>287</v>
      </c>
      <c r="G131" s="172"/>
      <c r="H131" s="9"/>
      <c r="I131" s="9"/>
      <c r="J131" s="172"/>
      <c r="K131" s="9"/>
      <c r="L131" s="9"/>
      <c r="M131" s="172"/>
      <c r="N131" s="9"/>
      <c r="O131" s="9"/>
      <c r="P131" s="172"/>
      <c r="Q131" s="9"/>
      <c r="R131" s="9"/>
      <c r="S131" s="172"/>
      <c r="T131" s="9"/>
      <c r="U131" s="9"/>
      <c r="V131" s="172"/>
      <c r="W131" s="9"/>
      <c r="X131" s="9"/>
      <c r="Y131" s="172"/>
      <c r="Z131" s="9"/>
      <c r="AA131" s="9"/>
      <c r="AB131" s="172"/>
      <c r="AC131" s="9"/>
      <c r="AD131" s="9"/>
      <c r="AE131" s="172"/>
      <c r="AF131" s="9"/>
      <c r="AG131" s="9"/>
      <c r="AH131" s="172"/>
      <c r="AI131" s="9"/>
      <c r="AJ131" s="9"/>
      <c r="AK131" s="172"/>
      <c r="AL131" s="9"/>
      <c r="AM131" s="9"/>
    </row>
    <row r="132" spans="1:39" ht="15" customHeight="1" thickTop="1">
      <c r="A132" s="170" t="s">
        <v>325</v>
      </c>
      <c r="B132" s="169" t="s">
        <v>338</v>
      </c>
      <c r="C132" s="168" t="s">
        <v>133</v>
      </c>
      <c r="D132" s="168">
        <v>1</v>
      </c>
      <c r="E132" s="167" t="str">
        <f ca="1">_xll.DBRA("mfc:skz",B132,"Group")</f>
        <v>Sales elimination</v>
      </c>
      <c r="F132" s="27" t="s">
        <v>187</v>
      </c>
      <c r="G132" s="184" t="e">
        <f ca="1">_xll.DBRW($A$1,$C132,$B132,G$3,G$1,G$2,$A132)*$D132</f>
        <v>#VALUE!</v>
      </c>
      <c r="H132" s="16" t="e">
        <f ca="1">_xll.DBRW($A$1,$C132,$B132,H$3,H$1,H$2,$A132)*$D132</f>
        <v>#VALUE!</v>
      </c>
      <c r="I132" s="16" t="e">
        <f t="shared" ref="I132:I138" ca="1" si="44">+G132-H132</f>
        <v>#VALUE!</v>
      </c>
      <c r="J132" s="184" t="e">
        <f ca="1">_xll.DBRW($A$1,$C132,$B132,J$3,J$1,J$2,$A132)*$D132</f>
        <v>#VALUE!</v>
      </c>
      <c r="K132" s="16" t="e">
        <f ca="1">_xll.DBRW($A$1,$C132,$B132,K$3,K$1,K$2,$A132)*$D132</f>
        <v>#VALUE!</v>
      </c>
      <c r="L132" s="16" t="e">
        <f t="shared" ref="L132:L138" ca="1" si="45">+J132-K132</f>
        <v>#VALUE!</v>
      </c>
      <c r="M132" s="184" t="e">
        <f ca="1">_xll.DBRW($A$1,$C132,$B132,M$3,M$1,M$2,$A132)*$D132</f>
        <v>#VALUE!</v>
      </c>
      <c r="N132" s="16" t="e">
        <f ca="1">_xll.DBRW($A$1,$C132,$B132,N$3,N$1,N$2,$A132)*$D132</f>
        <v>#VALUE!</v>
      </c>
      <c r="O132" s="16" t="e">
        <f t="shared" ref="O132:O138" ca="1" si="46">+M132-N132</f>
        <v>#VALUE!</v>
      </c>
      <c r="P132" s="184" t="e">
        <f ca="1">_xll.DBRW($A$1,$C132,$B132,P$3,P$1,P$2,$A132)*$D132</f>
        <v>#VALUE!</v>
      </c>
      <c r="Q132" s="16" t="e">
        <f ca="1">_xll.DBRW($A$1,$C132,$B132,Q$3,Q$1,Q$2,$A132)*$D132</f>
        <v>#VALUE!</v>
      </c>
      <c r="R132" s="16" t="e">
        <f t="shared" ref="R132:R138" ca="1" si="47">+P132-Q132</f>
        <v>#VALUE!</v>
      </c>
      <c r="S132" s="184" t="e">
        <f ca="1">_xll.DBRW($A$1,$C132,$B132,S$3,S$1,S$2,$A132)*$D132</f>
        <v>#VALUE!</v>
      </c>
      <c r="T132" s="16" t="e">
        <f ca="1">_xll.DBRW($A$1,$C132,$B132,T$3,T$1,T$2,$A132)*$D132</f>
        <v>#VALUE!</v>
      </c>
      <c r="U132" s="16" t="e">
        <f t="shared" ref="U132:U138" ca="1" si="48">+S132-T132</f>
        <v>#VALUE!</v>
      </c>
      <c r="V132" s="184" t="e">
        <f ca="1">_xll.DBRW($A$1,$C132,$B132,V$3,V$1,V$2,$A132)*$D132</f>
        <v>#VALUE!</v>
      </c>
      <c r="W132" s="16" t="e">
        <f ca="1">_xll.DBRW($A$1,$C132,$B132,W$3,W$1,W$2,$A132)*$D132</f>
        <v>#VALUE!</v>
      </c>
      <c r="X132" s="16" t="e">
        <f t="shared" ref="X132:X138" ca="1" si="49">+V132-W132</f>
        <v>#VALUE!</v>
      </c>
      <c r="Y132" s="184" t="e">
        <f ca="1">_xll.DBRW($A$1,$C132,$B132,Y$3,Y$1,Y$2,$A132)*$D132</f>
        <v>#VALUE!</v>
      </c>
      <c r="Z132" s="16" t="e">
        <f ca="1">_xll.DBRW($A$1,$C132,$B132,Z$3,Z$1,Z$2,$A132)*$D132</f>
        <v>#VALUE!</v>
      </c>
      <c r="AA132" s="16" t="e">
        <f t="shared" ref="AA132:AA138" ca="1" si="50">+Y132-Z132</f>
        <v>#VALUE!</v>
      </c>
      <c r="AB132" s="184" t="e">
        <f ca="1">_xll.DBRW($A$1,$C132,$B132,AB$3,AB$1,AB$2,$A132)*$D132</f>
        <v>#VALUE!</v>
      </c>
      <c r="AC132" s="16" t="e">
        <f ca="1">_xll.DBRW($A$1,$C132,$B132,AC$3,AC$1,AC$2,$A132)*$D132</f>
        <v>#VALUE!</v>
      </c>
      <c r="AD132" s="16" t="e">
        <f t="shared" ref="AD132:AD138" ca="1" si="51">+AB132-AC132</f>
        <v>#VALUE!</v>
      </c>
      <c r="AE132" s="184" t="e">
        <f ca="1">_xll.DBRW($A$1,$C132,$B132,AE$3,AE$1,AE$2,$A132)*$D132</f>
        <v>#VALUE!</v>
      </c>
      <c r="AF132" s="16" t="e">
        <f ca="1">_xll.DBRW($A$1,$C132,$B132,AF$3,AF$1,AF$2,$A132)*$D132</f>
        <v>#VALUE!</v>
      </c>
      <c r="AG132" s="16" t="e">
        <f t="shared" ref="AG132:AG138" ca="1" si="52">+AE132-AF132</f>
        <v>#VALUE!</v>
      </c>
      <c r="AH132" s="184" t="e">
        <f ca="1">_xll.DBRW($A$1,$C132,$B132,AH$3,AH$1,AH$2,$A132)*$D132</f>
        <v>#VALUE!</v>
      </c>
      <c r="AI132" s="16" t="e">
        <f ca="1">_xll.DBRW($A$1,$C132,$B132,AI$3,AI$1,AI$2,$A132)*$D132</f>
        <v>#VALUE!</v>
      </c>
      <c r="AJ132" s="16" t="e">
        <f t="shared" ref="AJ132:AJ138" ca="1" si="53">+AH132-AI132</f>
        <v>#VALUE!</v>
      </c>
      <c r="AK132" s="184" t="e">
        <f ca="1">_xll.DBRW($A$1,$C132,$B132,AK$3,AK$1,AK$2,$A132)*$D132</f>
        <v>#VALUE!</v>
      </c>
      <c r="AL132" s="16" t="e">
        <f ca="1">_xll.DBRW($A$1,$C132,$B132,AL$3,AL$1,AL$2,$A132)*$D132</f>
        <v>#VALUE!</v>
      </c>
      <c r="AM132" s="16" t="e">
        <f t="shared" ref="AM132:AM138" ca="1" si="54">+AK132-AL132</f>
        <v>#VALUE!</v>
      </c>
    </row>
    <row r="133" spans="1:39" ht="15" customHeight="1">
      <c r="A133" s="170" t="s">
        <v>331</v>
      </c>
      <c r="B133" s="169" t="s">
        <v>338</v>
      </c>
      <c r="C133" s="168" t="s">
        <v>133</v>
      </c>
      <c r="D133" s="168">
        <v>1</v>
      </c>
      <c r="E133" s="167" t="str">
        <f ca="1">_xll.DBRA("mfc:skz",B133,"Group")</f>
        <v>Sales elimination</v>
      </c>
      <c r="F133" s="27" t="s">
        <v>188</v>
      </c>
      <c r="G133" s="184" t="e">
        <f ca="1">_xll.DBRW($A$1,$C133,$B133,G$3,G$1,G$2,$A133)*$D133</f>
        <v>#VALUE!</v>
      </c>
      <c r="H133" s="16" t="e">
        <f ca="1">_xll.DBRW($A$1,$C133,$B133,H$3,H$1,H$2,$A133)*$D133</f>
        <v>#VALUE!</v>
      </c>
      <c r="I133" s="16" t="e">
        <f t="shared" ca="1" si="44"/>
        <v>#VALUE!</v>
      </c>
      <c r="J133" s="184" t="e">
        <f ca="1">_xll.DBRW($A$1,$C133,$B133,J$3,J$1,J$2,$A133)*$D133</f>
        <v>#VALUE!</v>
      </c>
      <c r="K133" s="16" t="e">
        <f ca="1">_xll.DBRW($A$1,$C133,$B133,K$3,K$1,K$2,$A133)*$D133</f>
        <v>#VALUE!</v>
      </c>
      <c r="L133" s="16" t="e">
        <f t="shared" ca="1" si="45"/>
        <v>#VALUE!</v>
      </c>
      <c r="M133" s="184" t="e">
        <f ca="1">_xll.DBRW($A$1,$C133,$B133,M$3,M$1,M$2,$A133)*$D133</f>
        <v>#VALUE!</v>
      </c>
      <c r="N133" s="16" t="e">
        <f ca="1">_xll.DBRW($A$1,$C133,$B133,N$3,N$1,N$2,$A133)*$D133</f>
        <v>#VALUE!</v>
      </c>
      <c r="O133" s="16" t="e">
        <f t="shared" ca="1" si="46"/>
        <v>#VALUE!</v>
      </c>
      <c r="P133" s="184" t="e">
        <f ca="1">_xll.DBRW($A$1,$C133,$B133,P$3,P$1,P$2,$A133)*$D133</f>
        <v>#VALUE!</v>
      </c>
      <c r="Q133" s="16" t="e">
        <f ca="1">_xll.DBRW($A$1,$C133,$B133,Q$3,Q$1,Q$2,$A133)*$D133</f>
        <v>#VALUE!</v>
      </c>
      <c r="R133" s="16" t="e">
        <f t="shared" ca="1" si="47"/>
        <v>#VALUE!</v>
      </c>
      <c r="S133" s="184" t="e">
        <f ca="1">_xll.DBRW($A$1,$C133,$B133,S$3,S$1,S$2,$A133)*$D133</f>
        <v>#VALUE!</v>
      </c>
      <c r="T133" s="16" t="e">
        <f ca="1">_xll.DBRW($A$1,$C133,$B133,T$3,T$1,T$2,$A133)*$D133</f>
        <v>#VALUE!</v>
      </c>
      <c r="U133" s="16" t="e">
        <f t="shared" ca="1" si="48"/>
        <v>#VALUE!</v>
      </c>
      <c r="V133" s="184" t="e">
        <f ca="1">_xll.DBRW($A$1,$C133,$B133,V$3,V$1,V$2,$A133)*$D133</f>
        <v>#VALUE!</v>
      </c>
      <c r="W133" s="16" t="e">
        <f ca="1">_xll.DBRW($A$1,$C133,$B133,W$3,W$1,W$2,$A133)*$D133</f>
        <v>#VALUE!</v>
      </c>
      <c r="X133" s="16" t="e">
        <f t="shared" ca="1" si="49"/>
        <v>#VALUE!</v>
      </c>
      <c r="Y133" s="184" t="e">
        <f ca="1">_xll.DBRW($A$1,$C133,$B133,Y$3,Y$1,Y$2,$A133)*$D133</f>
        <v>#VALUE!</v>
      </c>
      <c r="Z133" s="16" t="e">
        <f ca="1">_xll.DBRW($A$1,$C133,$B133,Z$3,Z$1,Z$2,$A133)*$D133</f>
        <v>#VALUE!</v>
      </c>
      <c r="AA133" s="16" t="e">
        <f t="shared" ca="1" si="50"/>
        <v>#VALUE!</v>
      </c>
      <c r="AB133" s="184" t="e">
        <f ca="1">_xll.DBRW($A$1,$C133,$B133,AB$3,AB$1,AB$2,$A133)*$D133</f>
        <v>#VALUE!</v>
      </c>
      <c r="AC133" s="16" t="e">
        <f ca="1">_xll.DBRW($A$1,$C133,$B133,AC$3,AC$1,AC$2,$A133)*$D133</f>
        <v>#VALUE!</v>
      </c>
      <c r="AD133" s="16" t="e">
        <f t="shared" ca="1" si="51"/>
        <v>#VALUE!</v>
      </c>
      <c r="AE133" s="184" t="e">
        <f ca="1">_xll.DBRW($A$1,$C133,$B133,AE$3,AE$1,AE$2,$A133)*$D133</f>
        <v>#VALUE!</v>
      </c>
      <c r="AF133" s="16" t="e">
        <f ca="1">_xll.DBRW($A$1,$C133,$B133,AF$3,AF$1,AF$2,$A133)*$D133</f>
        <v>#VALUE!</v>
      </c>
      <c r="AG133" s="16" t="e">
        <f t="shared" ca="1" si="52"/>
        <v>#VALUE!</v>
      </c>
      <c r="AH133" s="184" t="e">
        <f ca="1">_xll.DBRW($A$1,$C133,$B133,AH$3,AH$1,AH$2,$A133)*$D133</f>
        <v>#VALUE!</v>
      </c>
      <c r="AI133" s="16" t="e">
        <f ca="1">_xll.DBRW($A$1,$C133,$B133,AI$3,AI$1,AI$2,$A133)*$D133</f>
        <v>#VALUE!</v>
      </c>
      <c r="AJ133" s="16" t="e">
        <f t="shared" ca="1" si="53"/>
        <v>#VALUE!</v>
      </c>
      <c r="AK133" s="184" t="e">
        <f ca="1">_xll.DBRW($A$1,$C133,$B133,AK$3,AK$1,AK$2,$A133)*$D133</f>
        <v>#VALUE!</v>
      </c>
      <c r="AL133" s="16" t="e">
        <f ca="1">_xll.DBRW($A$1,$C133,$B133,AL$3,AL$1,AL$2,$A133)*$D133</f>
        <v>#VALUE!</v>
      </c>
      <c r="AM133" s="16" t="e">
        <f t="shared" ca="1" si="54"/>
        <v>#VALUE!</v>
      </c>
    </row>
    <row r="134" spans="1:39" ht="15" customHeight="1">
      <c r="A134" s="170" t="s">
        <v>330</v>
      </c>
      <c r="B134" s="169" t="s">
        <v>338</v>
      </c>
      <c r="C134" s="168" t="s">
        <v>133</v>
      </c>
      <c r="D134" s="168">
        <v>1</v>
      </c>
      <c r="E134" s="167" t="str">
        <f ca="1">_xll.DBRA("mfc:skz",B134,"Group")</f>
        <v>Sales elimination</v>
      </c>
      <c r="F134" s="62" t="s">
        <v>190</v>
      </c>
      <c r="G134" s="184" t="e">
        <f ca="1">_xll.DBRW($A$1,$C134,$B134,G$3,G$1,G$2,$A134)*$D134</f>
        <v>#VALUE!</v>
      </c>
      <c r="H134" s="16" t="e">
        <f ca="1">_xll.DBRW($A$1,$C134,$B134,H$3,H$1,H$2,$A134)*$D134</f>
        <v>#VALUE!</v>
      </c>
      <c r="I134" s="16" t="e">
        <f t="shared" ca="1" si="44"/>
        <v>#VALUE!</v>
      </c>
      <c r="J134" s="184" t="e">
        <f ca="1">_xll.DBRW($A$1,$C134,$B134,J$3,J$1,J$2,$A134)*$D134</f>
        <v>#VALUE!</v>
      </c>
      <c r="K134" s="16" t="e">
        <f ca="1">_xll.DBRW($A$1,$C134,$B134,K$3,K$1,K$2,$A134)*$D134</f>
        <v>#VALUE!</v>
      </c>
      <c r="L134" s="16" t="e">
        <f t="shared" ca="1" si="45"/>
        <v>#VALUE!</v>
      </c>
      <c r="M134" s="184" t="e">
        <f ca="1">_xll.DBRW($A$1,$C134,$B134,M$3,M$1,M$2,$A134)*$D134</f>
        <v>#VALUE!</v>
      </c>
      <c r="N134" s="16" t="e">
        <f ca="1">_xll.DBRW($A$1,$C134,$B134,N$3,N$1,N$2,$A134)*$D134</f>
        <v>#VALUE!</v>
      </c>
      <c r="O134" s="16" t="e">
        <f t="shared" ca="1" si="46"/>
        <v>#VALUE!</v>
      </c>
      <c r="P134" s="184" t="e">
        <f ca="1">_xll.DBRW($A$1,$C134,$B134,P$3,P$1,P$2,$A134)*$D134</f>
        <v>#VALUE!</v>
      </c>
      <c r="Q134" s="16" t="e">
        <f ca="1">_xll.DBRW($A$1,$C134,$B134,Q$3,Q$1,Q$2,$A134)*$D134</f>
        <v>#VALUE!</v>
      </c>
      <c r="R134" s="16" t="e">
        <f t="shared" ca="1" si="47"/>
        <v>#VALUE!</v>
      </c>
      <c r="S134" s="184" t="e">
        <f ca="1">_xll.DBRW($A$1,$C134,$B134,S$3,S$1,S$2,$A134)*$D134</f>
        <v>#VALUE!</v>
      </c>
      <c r="T134" s="16" t="e">
        <f ca="1">_xll.DBRW($A$1,$C134,$B134,T$3,T$1,T$2,$A134)*$D134</f>
        <v>#VALUE!</v>
      </c>
      <c r="U134" s="16" t="e">
        <f t="shared" ca="1" si="48"/>
        <v>#VALUE!</v>
      </c>
      <c r="V134" s="184" t="e">
        <f ca="1">_xll.DBRW($A$1,$C134,$B134,V$3,V$1,V$2,$A134)*$D134</f>
        <v>#VALUE!</v>
      </c>
      <c r="W134" s="16" t="e">
        <f ca="1">_xll.DBRW($A$1,$C134,$B134,W$3,W$1,W$2,$A134)*$D134</f>
        <v>#VALUE!</v>
      </c>
      <c r="X134" s="16" t="e">
        <f t="shared" ca="1" si="49"/>
        <v>#VALUE!</v>
      </c>
      <c r="Y134" s="184" t="e">
        <f ca="1">_xll.DBRW($A$1,$C134,$B134,Y$3,Y$1,Y$2,$A134)*$D134</f>
        <v>#VALUE!</v>
      </c>
      <c r="Z134" s="16" t="e">
        <f ca="1">_xll.DBRW($A$1,$C134,$B134,Z$3,Z$1,Z$2,$A134)*$D134</f>
        <v>#VALUE!</v>
      </c>
      <c r="AA134" s="16" t="e">
        <f t="shared" ca="1" si="50"/>
        <v>#VALUE!</v>
      </c>
      <c r="AB134" s="184" t="e">
        <f ca="1">_xll.DBRW($A$1,$C134,$B134,AB$3,AB$1,AB$2,$A134)*$D134</f>
        <v>#VALUE!</v>
      </c>
      <c r="AC134" s="16" t="e">
        <f ca="1">_xll.DBRW($A$1,$C134,$B134,AC$3,AC$1,AC$2,$A134)*$D134</f>
        <v>#VALUE!</v>
      </c>
      <c r="AD134" s="16" t="e">
        <f t="shared" ca="1" si="51"/>
        <v>#VALUE!</v>
      </c>
      <c r="AE134" s="184" t="e">
        <f ca="1">_xll.DBRW($A$1,$C134,$B134,AE$3,AE$1,AE$2,$A134)*$D134</f>
        <v>#VALUE!</v>
      </c>
      <c r="AF134" s="16" t="e">
        <f ca="1">_xll.DBRW($A$1,$C134,$B134,AF$3,AF$1,AF$2,$A134)*$D134</f>
        <v>#VALUE!</v>
      </c>
      <c r="AG134" s="16" t="e">
        <f t="shared" ca="1" si="52"/>
        <v>#VALUE!</v>
      </c>
      <c r="AH134" s="184" t="e">
        <f ca="1">_xll.DBRW($A$1,$C134,$B134,AH$3,AH$1,AH$2,$A134)*$D134</f>
        <v>#VALUE!</v>
      </c>
      <c r="AI134" s="16" t="e">
        <f ca="1">_xll.DBRW($A$1,$C134,$B134,AI$3,AI$1,AI$2,$A134)*$D134</f>
        <v>#VALUE!</v>
      </c>
      <c r="AJ134" s="16" t="e">
        <f t="shared" ca="1" si="53"/>
        <v>#VALUE!</v>
      </c>
      <c r="AK134" s="184" t="e">
        <f ca="1">_xll.DBRW($A$1,$C134,$B134,AK$3,AK$1,AK$2,$A134)*$D134</f>
        <v>#VALUE!</v>
      </c>
      <c r="AL134" s="16" t="e">
        <f ca="1">_xll.DBRW($A$1,$C134,$B134,AL$3,AL$1,AL$2,$A134)*$D134</f>
        <v>#VALUE!</v>
      </c>
      <c r="AM134" s="16" t="e">
        <f t="shared" ca="1" si="54"/>
        <v>#VALUE!</v>
      </c>
    </row>
    <row r="135" spans="1:39" ht="15" customHeight="1">
      <c r="A135" s="170" t="s">
        <v>322</v>
      </c>
      <c r="B135" s="169" t="s">
        <v>338</v>
      </c>
      <c r="C135" s="168" t="s">
        <v>133</v>
      </c>
      <c r="D135" s="168">
        <v>1</v>
      </c>
      <c r="E135" s="167" t="str">
        <f ca="1">_xll.DBRA("mfc:skz",B135,"Group")</f>
        <v>Sales elimination</v>
      </c>
      <c r="F135" s="62" t="s">
        <v>191</v>
      </c>
      <c r="G135" s="184" t="e">
        <f ca="1">_xll.DBRW($A$1,$C135,$B135,G$3,G$1,G$2,$A135)*$D135</f>
        <v>#VALUE!</v>
      </c>
      <c r="H135" s="16" t="e">
        <f ca="1">_xll.DBRW($A$1,$C135,$B135,H$3,H$1,H$2,$A135)*$D135</f>
        <v>#VALUE!</v>
      </c>
      <c r="I135" s="16" t="e">
        <f t="shared" ca="1" si="44"/>
        <v>#VALUE!</v>
      </c>
      <c r="J135" s="184" t="e">
        <f ca="1">_xll.DBRW($A$1,$C135,$B135,J$3,J$1,J$2,$A135)*$D135</f>
        <v>#VALUE!</v>
      </c>
      <c r="K135" s="16" t="e">
        <f ca="1">_xll.DBRW($A$1,$C135,$B135,K$3,K$1,K$2,$A135)*$D135</f>
        <v>#VALUE!</v>
      </c>
      <c r="L135" s="16" t="e">
        <f t="shared" ca="1" si="45"/>
        <v>#VALUE!</v>
      </c>
      <c r="M135" s="184" t="e">
        <f ca="1">_xll.DBRW($A$1,$C135,$B135,M$3,M$1,M$2,$A135)*$D135</f>
        <v>#VALUE!</v>
      </c>
      <c r="N135" s="16" t="e">
        <f ca="1">_xll.DBRW($A$1,$C135,$B135,N$3,N$1,N$2,$A135)*$D135</f>
        <v>#VALUE!</v>
      </c>
      <c r="O135" s="16" t="e">
        <f t="shared" ca="1" si="46"/>
        <v>#VALUE!</v>
      </c>
      <c r="P135" s="184" t="e">
        <f ca="1">_xll.DBRW($A$1,$C135,$B135,P$3,P$1,P$2,$A135)*$D135</f>
        <v>#VALUE!</v>
      </c>
      <c r="Q135" s="16" t="e">
        <f ca="1">_xll.DBRW($A$1,$C135,$B135,Q$3,Q$1,Q$2,$A135)*$D135</f>
        <v>#VALUE!</v>
      </c>
      <c r="R135" s="16" t="e">
        <f t="shared" ca="1" si="47"/>
        <v>#VALUE!</v>
      </c>
      <c r="S135" s="184" t="e">
        <f ca="1">_xll.DBRW($A$1,$C135,$B135,S$3,S$1,S$2,$A135)*$D135</f>
        <v>#VALUE!</v>
      </c>
      <c r="T135" s="16" t="e">
        <f ca="1">_xll.DBRW($A$1,$C135,$B135,T$3,T$1,T$2,$A135)*$D135</f>
        <v>#VALUE!</v>
      </c>
      <c r="U135" s="16" t="e">
        <f t="shared" ca="1" si="48"/>
        <v>#VALUE!</v>
      </c>
      <c r="V135" s="184" t="e">
        <f ca="1">_xll.DBRW($A$1,$C135,$B135,V$3,V$1,V$2,$A135)*$D135</f>
        <v>#VALUE!</v>
      </c>
      <c r="W135" s="16" t="e">
        <f ca="1">_xll.DBRW($A$1,$C135,$B135,W$3,W$1,W$2,$A135)*$D135</f>
        <v>#VALUE!</v>
      </c>
      <c r="X135" s="16" t="e">
        <f t="shared" ca="1" si="49"/>
        <v>#VALUE!</v>
      </c>
      <c r="Y135" s="184" t="e">
        <f ca="1">_xll.DBRW($A$1,$C135,$B135,Y$3,Y$1,Y$2,$A135)*$D135</f>
        <v>#VALUE!</v>
      </c>
      <c r="Z135" s="16" t="e">
        <f ca="1">_xll.DBRW($A$1,$C135,$B135,Z$3,Z$1,Z$2,$A135)*$D135</f>
        <v>#VALUE!</v>
      </c>
      <c r="AA135" s="16" t="e">
        <f t="shared" ca="1" si="50"/>
        <v>#VALUE!</v>
      </c>
      <c r="AB135" s="184" t="e">
        <f ca="1">_xll.DBRW($A$1,$C135,$B135,AB$3,AB$1,AB$2,$A135)*$D135</f>
        <v>#VALUE!</v>
      </c>
      <c r="AC135" s="16" t="e">
        <f ca="1">_xll.DBRW($A$1,$C135,$B135,AC$3,AC$1,AC$2,$A135)*$D135</f>
        <v>#VALUE!</v>
      </c>
      <c r="AD135" s="16" t="e">
        <f t="shared" ca="1" si="51"/>
        <v>#VALUE!</v>
      </c>
      <c r="AE135" s="184" t="e">
        <f ca="1">_xll.DBRW($A$1,$C135,$B135,AE$3,AE$1,AE$2,$A135)*$D135</f>
        <v>#VALUE!</v>
      </c>
      <c r="AF135" s="16" t="e">
        <f ca="1">_xll.DBRW($A$1,$C135,$B135,AF$3,AF$1,AF$2,$A135)*$D135</f>
        <v>#VALUE!</v>
      </c>
      <c r="AG135" s="16" t="e">
        <f t="shared" ca="1" si="52"/>
        <v>#VALUE!</v>
      </c>
      <c r="AH135" s="184" t="e">
        <f ca="1">_xll.DBRW($A$1,$C135,$B135,AH$3,AH$1,AH$2,$A135)*$D135</f>
        <v>#VALUE!</v>
      </c>
      <c r="AI135" s="16" t="e">
        <f ca="1">_xll.DBRW($A$1,$C135,$B135,AI$3,AI$1,AI$2,$A135)*$D135</f>
        <v>#VALUE!</v>
      </c>
      <c r="AJ135" s="16" t="e">
        <f t="shared" ca="1" si="53"/>
        <v>#VALUE!</v>
      </c>
      <c r="AK135" s="184" t="e">
        <f ca="1">_xll.DBRW($A$1,$C135,$B135,AK$3,AK$1,AK$2,$A135)*$D135</f>
        <v>#VALUE!</v>
      </c>
      <c r="AL135" s="16" t="e">
        <f ca="1">_xll.DBRW($A$1,$C135,$B135,AL$3,AL$1,AL$2,$A135)*$D135</f>
        <v>#VALUE!</v>
      </c>
      <c r="AM135" s="16" t="e">
        <f t="shared" ca="1" si="54"/>
        <v>#VALUE!</v>
      </c>
    </row>
    <row r="136" spans="1:39" ht="15" customHeight="1">
      <c r="A136" s="170" t="s">
        <v>212</v>
      </c>
      <c r="B136" s="169" t="s">
        <v>338</v>
      </c>
      <c r="C136" s="168" t="s">
        <v>133</v>
      </c>
      <c r="D136" s="168">
        <v>1</v>
      </c>
      <c r="E136" s="167" t="str">
        <f ca="1">_xll.DBRA("mfc:skz",B136,"Group")</f>
        <v>Sales elimination</v>
      </c>
      <c r="F136" s="62" t="s">
        <v>211</v>
      </c>
      <c r="G136" s="184" t="e">
        <f ca="1">_xll.DBRW($A$1,$C136,$B136,G$3,G$1,G$2,$A136)*$D136</f>
        <v>#VALUE!</v>
      </c>
      <c r="H136" s="16" t="e">
        <f ca="1">_xll.DBRW($A$1,$C136,$B136,H$3,H$1,H$2,$A136)*$D136</f>
        <v>#VALUE!</v>
      </c>
      <c r="I136" s="16" t="e">
        <f t="shared" ca="1" si="44"/>
        <v>#VALUE!</v>
      </c>
      <c r="J136" s="184" t="e">
        <f ca="1">_xll.DBRW($A$1,$C136,$B136,J$3,J$1,J$2,$A136)*$D136</f>
        <v>#VALUE!</v>
      </c>
      <c r="K136" s="16" t="e">
        <f ca="1">_xll.DBRW($A$1,$C136,$B136,K$3,K$1,K$2,$A136)*$D136</f>
        <v>#VALUE!</v>
      </c>
      <c r="L136" s="16" t="e">
        <f t="shared" ca="1" si="45"/>
        <v>#VALUE!</v>
      </c>
      <c r="M136" s="184" t="e">
        <f ca="1">_xll.DBRW($A$1,$C136,$B136,M$3,M$1,M$2,$A136)*$D136</f>
        <v>#VALUE!</v>
      </c>
      <c r="N136" s="16" t="e">
        <f ca="1">_xll.DBRW($A$1,$C136,$B136,N$3,N$1,N$2,$A136)*$D136</f>
        <v>#VALUE!</v>
      </c>
      <c r="O136" s="16" t="e">
        <f t="shared" ca="1" si="46"/>
        <v>#VALUE!</v>
      </c>
      <c r="P136" s="184" t="e">
        <f ca="1">_xll.DBRW($A$1,$C136,$B136,P$3,P$1,P$2,$A136)*$D136</f>
        <v>#VALUE!</v>
      </c>
      <c r="Q136" s="16" t="e">
        <f ca="1">_xll.DBRW($A$1,$C136,$B136,Q$3,Q$1,Q$2,$A136)*$D136</f>
        <v>#VALUE!</v>
      </c>
      <c r="R136" s="16" t="e">
        <f t="shared" ca="1" si="47"/>
        <v>#VALUE!</v>
      </c>
      <c r="S136" s="184" t="e">
        <f ca="1">_xll.DBRW($A$1,$C136,$B136,S$3,S$1,S$2,$A136)*$D136</f>
        <v>#VALUE!</v>
      </c>
      <c r="T136" s="16" t="e">
        <f ca="1">_xll.DBRW($A$1,$C136,$B136,T$3,T$1,T$2,$A136)*$D136</f>
        <v>#VALUE!</v>
      </c>
      <c r="U136" s="16" t="e">
        <f t="shared" ca="1" si="48"/>
        <v>#VALUE!</v>
      </c>
      <c r="V136" s="184" t="e">
        <f ca="1">_xll.DBRW($A$1,$C136,$B136,V$3,V$1,V$2,$A136)*$D136</f>
        <v>#VALUE!</v>
      </c>
      <c r="W136" s="16" t="e">
        <f ca="1">_xll.DBRW($A$1,$C136,$B136,W$3,W$1,W$2,$A136)*$D136</f>
        <v>#VALUE!</v>
      </c>
      <c r="X136" s="16" t="e">
        <f t="shared" ca="1" si="49"/>
        <v>#VALUE!</v>
      </c>
      <c r="Y136" s="184" t="e">
        <f ca="1">_xll.DBRW($A$1,$C136,$B136,Y$3,Y$1,Y$2,$A136)*$D136</f>
        <v>#VALUE!</v>
      </c>
      <c r="Z136" s="16" t="e">
        <f ca="1">_xll.DBRW($A$1,$C136,$B136,Z$3,Z$1,Z$2,$A136)*$D136</f>
        <v>#VALUE!</v>
      </c>
      <c r="AA136" s="16" t="e">
        <f t="shared" ca="1" si="50"/>
        <v>#VALUE!</v>
      </c>
      <c r="AB136" s="184" t="e">
        <f ca="1">_xll.DBRW($A$1,$C136,$B136,AB$3,AB$1,AB$2,$A136)*$D136</f>
        <v>#VALUE!</v>
      </c>
      <c r="AC136" s="16" t="e">
        <f ca="1">_xll.DBRW($A$1,$C136,$B136,AC$3,AC$1,AC$2,$A136)*$D136</f>
        <v>#VALUE!</v>
      </c>
      <c r="AD136" s="16" t="e">
        <f t="shared" ca="1" si="51"/>
        <v>#VALUE!</v>
      </c>
      <c r="AE136" s="184" t="e">
        <f ca="1">_xll.DBRW($A$1,$C136,$B136,AE$3,AE$1,AE$2,$A136)*$D136</f>
        <v>#VALUE!</v>
      </c>
      <c r="AF136" s="16" t="e">
        <f ca="1">_xll.DBRW($A$1,$C136,$B136,AF$3,AF$1,AF$2,$A136)*$D136</f>
        <v>#VALUE!</v>
      </c>
      <c r="AG136" s="16" t="e">
        <f t="shared" ca="1" si="52"/>
        <v>#VALUE!</v>
      </c>
      <c r="AH136" s="184" t="e">
        <f ca="1">_xll.DBRW($A$1,$C136,$B136,AH$3,AH$1,AH$2,$A136)*$D136</f>
        <v>#VALUE!</v>
      </c>
      <c r="AI136" s="16" t="e">
        <f ca="1">_xll.DBRW($A$1,$C136,$B136,AI$3,AI$1,AI$2,$A136)*$D136</f>
        <v>#VALUE!</v>
      </c>
      <c r="AJ136" s="16" t="e">
        <f t="shared" ca="1" si="53"/>
        <v>#VALUE!</v>
      </c>
      <c r="AK136" s="184" t="e">
        <f ca="1">_xll.DBRW($A$1,$C136,$B136,AK$3,AK$1,AK$2,$A136)*$D136</f>
        <v>#VALUE!</v>
      </c>
      <c r="AL136" s="16" t="e">
        <f ca="1">_xll.DBRW($A$1,$C136,$B136,AL$3,AL$1,AL$2,$A136)*$D136</f>
        <v>#VALUE!</v>
      </c>
      <c r="AM136" s="16" t="e">
        <f t="shared" ca="1" si="54"/>
        <v>#VALUE!</v>
      </c>
    </row>
    <row r="137" spans="1:39" ht="15" customHeight="1">
      <c r="A137" s="170" t="s">
        <v>321</v>
      </c>
      <c r="B137" s="169" t="s">
        <v>338</v>
      </c>
      <c r="C137" s="168" t="s">
        <v>133</v>
      </c>
      <c r="D137" s="168">
        <v>1</v>
      </c>
      <c r="E137" s="167" t="str">
        <f ca="1">_xll.DBRA("mfc:skz",B137,"Group")</f>
        <v>Sales elimination</v>
      </c>
      <c r="F137" s="28" t="s">
        <v>38</v>
      </c>
      <c r="G137" s="184" t="e">
        <f ca="1">_xll.DBRW($A$1,$C137,$B137,G$3,G$1,G$2,$A137)*$D137</f>
        <v>#VALUE!</v>
      </c>
      <c r="H137" s="16" t="e">
        <f ca="1">_xll.DBRW($A$1,$C137,$B137,H$3,H$1,H$2,$A137)*$D137</f>
        <v>#VALUE!</v>
      </c>
      <c r="I137" s="16" t="e">
        <f t="shared" ca="1" si="44"/>
        <v>#VALUE!</v>
      </c>
      <c r="J137" s="184" t="e">
        <f ca="1">_xll.DBRW($A$1,$C137,$B137,J$3,J$1,J$2,$A137)*$D137</f>
        <v>#VALUE!</v>
      </c>
      <c r="K137" s="16" t="e">
        <f ca="1">_xll.DBRW($A$1,$C137,$B137,K$3,K$1,K$2,$A137)*$D137</f>
        <v>#VALUE!</v>
      </c>
      <c r="L137" s="16" t="e">
        <f t="shared" ca="1" si="45"/>
        <v>#VALUE!</v>
      </c>
      <c r="M137" s="184" t="e">
        <f ca="1">_xll.DBRW($A$1,$C137,$B137,M$3,M$1,M$2,$A137)*$D137</f>
        <v>#VALUE!</v>
      </c>
      <c r="N137" s="16" t="e">
        <f ca="1">_xll.DBRW($A$1,$C137,$B137,N$3,N$1,N$2,$A137)*$D137</f>
        <v>#VALUE!</v>
      </c>
      <c r="O137" s="16" t="e">
        <f t="shared" ca="1" si="46"/>
        <v>#VALUE!</v>
      </c>
      <c r="P137" s="184" t="e">
        <f ca="1">_xll.DBRW($A$1,$C137,$B137,P$3,P$1,P$2,$A137)*$D137</f>
        <v>#VALUE!</v>
      </c>
      <c r="Q137" s="16" t="e">
        <f ca="1">_xll.DBRW($A$1,$C137,$B137,Q$3,Q$1,Q$2,$A137)*$D137</f>
        <v>#VALUE!</v>
      </c>
      <c r="R137" s="16" t="e">
        <f t="shared" ca="1" si="47"/>
        <v>#VALUE!</v>
      </c>
      <c r="S137" s="184" t="e">
        <f ca="1">_xll.DBRW($A$1,$C137,$B137,S$3,S$1,S$2,$A137)*$D137</f>
        <v>#VALUE!</v>
      </c>
      <c r="T137" s="16" t="e">
        <f ca="1">_xll.DBRW($A$1,$C137,$B137,T$3,T$1,T$2,$A137)*$D137</f>
        <v>#VALUE!</v>
      </c>
      <c r="U137" s="16" t="e">
        <f t="shared" ca="1" si="48"/>
        <v>#VALUE!</v>
      </c>
      <c r="V137" s="184" t="e">
        <f ca="1">_xll.DBRW($A$1,$C137,$B137,V$3,V$1,V$2,$A137)*$D137</f>
        <v>#VALUE!</v>
      </c>
      <c r="W137" s="16" t="e">
        <f ca="1">_xll.DBRW($A$1,$C137,$B137,W$3,W$1,W$2,$A137)*$D137</f>
        <v>#VALUE!</v>
      </c>
      <c r="X137" s="16" t="e">
        <f t="shared" ca="1" si="49"/>
        <v>#VALUE!</v>
      </c>
      <c r="Y137" s="184" t="e">
        <f ca="1">_xll.DBRW($A$1,$C137,$B137,Y$3,Y$1,Y$2,$A137)*$D137</f>
        <v>#VALUE!</v>
      </c>
      <c r="Z137" s="16" t="e">
        <f ca="1">_xll.DBRW($A$1,$C137,$B137,Z$3,Z$1,Z$2,$A137)*$D137</f>
        <v>#VALUE!</v>
      </c>
      <c r="AA137" s="16" t="e">
        <f t="shared" ca="1" si="50"/>
        <v>#VALUE!</v>
      </c>
      <c r="AB137" s="184" t="e">
        <f ca="1">_xll.DBRW($A$1,$C137,$B137,AB$3,AB$1,AB$2,$A137)*$D137</f>
        <v>#VALUE!</v>
      </c>
      <c r="AC137" s="16" t="e">
        <f ca="1">_xll.DBRW($A$1,$C137,$B137,AC$3,AC$1,AC$2,$A137)*$D137</f>
        <v>#VALUE!</v>
      </c>
      <c r="AD137" s="16" t="e">
        <f t="shared" ca="1" si="51"/>
        <v>#VALUE!</v>
      </c>
      <c r="AE137" s="184" t="e">
        <f ca="1">_xll.DBRW($A$1,$C137,$B137,AE$3,AE$1,AE$2,$A137)*$D137</f>
        <v>#VALUE!</v>
      </c>
      <c r="AF137" s="16" t="e">
        <f ca="1">_xll.DBRW($A$1,$C137,$B137,AF$3,AF$1,AF$2,$A137)*$D137</f>
        <v>#VALUE!</v>
      </c>
      <c r="AG137" s="16" t="e">
        <f t="shared" ca="1" si="52"/>
        <v>#VALUE!</v>
      </c>
      <c r="AH137" s="184" t="e">
        <f ca="1">_xll.DBRW($A$1,$C137,$B137,AH$3,AH$1,AH$2,$A137)*$D137</f>
        <v>#VALUE!</v>
      </c>
      <c r="AI137" s="16" t="e">
        <f ca="1">_xll.DBRW($A$1,$C137,$B137,AI$3,AI$1,AI$2,$A137)*$D137</f>
        <v>#VALUE!</v>
      </c>
      <c r="AJ137" s="16" t="e">
        <f t="shared" ca="1" si="53"/>
        <v>#VALUE!</v>
      </c>
      <c r="AK137" s="184" t="e">
        <f ca="1">_xll.DBRW($A$1,$C137,$B137,AK$3,AK$1,AK$2,$A137)*$D137</f>
        <v>#VALUE!</v>
      </c>
      <c r="AL137" s="16" t="e">
        <f ca="1">_xll.DBRW($A$1,$C137,$B137,AL$3,AL$1,AL$2,$A137)*$D137</f>
        <v>#VALUE!</v>
      </c>
      <c r="AM137" s="16" t="e">
        <f t="shared" ca="1" si="54"/>
        <v>#VALUE!</v>
      </c>
    </row>
    <row r="138" spans="1:39" ht="15" customHeight="1" thickBot="1">
      <c r="A138" s="170" t="s">
        <v>328</v>
      </c>
      <c r="B138" s="169" t="s">
        <v>338</v>
      </c>
      <c r="C138" s="168" t="s">
        <v>133</v>
      </c>
      <c r="D138" s="168">
        <v>1</v>
      </c>
      <c r="E138" s="167" t="str">
        <f ca="1">_xll.DBRA("mfc:skz",B138,"Group")</f>
        <v>Sales elimination</v>
      </c>
      <c r="F138" s="54" t="s">
        <v>39</v>
      </c>
      <c r="G138" s="188" t="e">
        <f ca="1">_xll.DBRW($A$1,$C138,$B138,G$3,G$1,G$2,$A138)*$D138</f>
        <v>#VALUE!</v>
      </c>
      <c r="H138" s="18" t="e">
        <f ca="1">_xll.DBRW($A$1,$C138,$B138,H$3,H$1,H$2,$A138)*$D138</f>
        <v>#VALUE!</v>
      </c>
      <c r="I138" s="18" t="e">
        <f t="shared" ca="1" si="44"/>
        <v>#VALUE!</v>
      </c>
      <c r="J138" s="188" t="e">
        <f ca="1">_xll.DBRW($A$1,$C138,$B138,J$3,J$1,J$2,$A138)*$D138</f>
        <v>#VALUE!</v>
      </c>
      <c r="K138" s="18" t="e">
        <f ca="1">_xll.DBRW($A$1,$C138,$B138,K$3,K$1,K$2,$A138)*$D138</f>
        <v>#VALUE!</v>
      </c>
      <c r="L138" s="18" t="e">
        <f t="shared" ca="1" si="45"/>
        <v>#VALUE!</v>
      </c>
      <c r="M138" s="188" t="e">
        <f ca="1">_xll.DBRW($A$1,$C138,$B138,M$3,M$1,M$2,$A138)*$D138</f>
        <v>#VALUE!</v>
      </c>
      <c r="N138" s="18" t="e">
        <f ca="1">_xll.DBRW($A$1,$C138,$B138,N$3,N$1,N$2,$A138)*$D138</f>
        <v>#VALUE!</v>
      </c>
      <c r="O138" s="18" t="e">
        <f t="shared" ca="1" si="46"/>
        <v>#VALUE!</v>
      </c>
      <c r="P138" s="188" t="e">
        <f ca="1">_xll.DBRW($A$1,$C138,$B138,P$3,P$1,P$2,$A138)*$D138</f>
        <v>#VALUE!</v>
      </c>
      <c r="Q138" s="18" t="e">
        <f ca="1">_xll.DBRW($A$1,$C138,$B138,Q$3,Q$1,Q$2,$A138)*$D138</f>
        <v>#VALUE!</v>
      </c>
      <c r="R138" s="18" t="e">
        <f t="shared" ca="1" si="47"/>
        <v>#VALUE!</v>
      </c>
      <c r="S138" s="188" t="e">
        <f ca="1">_xll.DBRW($A$1,$C138,$B138,S$3,S$1,S$2,$A138)*$D138</f>
        <v>#VALUE!</v>
      </c>
      <c r="T138" s="18" t="e">
        <f ca="1">_xll.DBRW($A$1,$C138,$B138,T$3,T$1,T$2,$A138)*$D138</f>
        <v>#VALUE!</v>
      </c>
      <c r="U138" s="18" t="e">
        <f t="shared" ca="1" si="48"/>
        <v>#VALUE!</v>
      </c>
      <c r="V138" s="188" t="e">
        <f ca="1">_xll.DBRW($A$1,$C138,$B138,V$3,V$1,V$2,$A138)*$D138</f>
        <v>#VALUE!</v>
      </c>
      <c r="W138" s="18" t="e">
        <f ca="1">_xll.DBRW($A$1,$C138,$B138,W$3,W$1,W$2,$A138)*$D138</f>
        <v>#VALUE!</v>
      </c>
      <c r="X138" s="18" t="e">
        <f t="shared" ca="1" si="49"/>
        <v>#VALUE!</v>
      </c>
      <c r="Y138" s="188" t="e">
        <f ca="1">_xll.DBRW($A$1,$C138,$B138,Y$3,Y$1,Y$2,$A138)*$D138</f>
        <v>#VALUE!</v>
      </c>
      <c r="Z138" s="18" t="e">
        <f ca="1">_xll.DBRW($A$1,$C138,$B138,Z$3,Z$1,Z$2,$A138)*$D138</f>
        <v>#VALUE!</v>
      </c>
      <c r="AA138" s="18" t="e">
        <f t="shared" ca="1" si="50"/>
        <v>#VALUE!</v>
      </c>
      <c r="AB138" s="188" t="e">
        <f ca="1">_xll.DBRW($A$1,$C138,$B138,AB$3,AB$1,AB$2,$A138)*$D138</f>
        <v>#VALUE!</v>
      </c>
      <c r="AC138" s="18" t="e">
        <f ca="1">_xll.DBRW($A$1,$C138,$B138,AC$3,AC$1,AC$2,$A138)*$D138</f>
        <v>#VALUE!</v>
      </c>
      <c r="AD138" s="18" t="e">
        <f t="shared" ca="1" si="51"/>
        <v>#VALUE!</v>
      </c>
      <c r="AE138" s="188" t="e">
        <f ca="1">_xll.DBRW($A$1,$C138,$B138,AE$3,AE$1,AE$2,$A138)*$D138</f>
        <v>#VALUE!</v>
      </c>
      <c r="AF138" s="18" t="e">
        <f ca="1">_xll.DBRW($A$1,$C138,$B138,AF$3,AF$1,AF$2,$A138)*$D138</f>
        <v>#VALUE!</v>
      </c>
      <c r="AG138" s="18" t="e">
        <f t="shared" ca="1" si="52"/>
        <v>#VALUE!</v>
      </c>
      <c r="AH138" s="188" t="e">
        <f ca="1">_xll.DBRW($A$1,$C138,$B138,AH$3,AH$1,AH$2,$A138)*$D138</f>
        <v>#VALUE!</v>
      </c>
      <c r="AI138" s="18" t="e">
        <f ca="1">_xll.DBRW($A$1,$C138,$B138,AI$3,AI$1,AI$2,$A138)*$D138</f>
        <v>#VALUE!</v>
      </c>
      <c r="AJ138" s="18" t="e">
        <f t="shared" ca="1" si="53"/>
        <v>#VALUE!</v>
      </c>
      <c r="AK138" s="188" t="e">
        <f ca="1">_xll.DBRW($A$1,$C138,$B138,AK$3,AK$1,AK$2,$A138)*$D138</f>
        <v>#VALUE!</v>
      </c>
      <c r="AL138" s="18" t="e">
        <f ca="1">_xll.DBRW($A$1,$C138,$B138,AL$3,AL$1,AL$2,$A138)*$D138</f>
        <v>#VALUE!</v>
      </c>
      <c r="AM138" s="18" t="e">
        <f t="shared" ca="1" si="54"/>
        <v>#VALUE!</v>
      </c>
    </row>
    <row r="139" spans="1:39" ht="15" customHeight="1" thickTop="1">
      <c r="A139" s="170"/>
      <c r="B139" s="169"/>
      <c r="C139" s="168"/>
      <c r="D139" s="168"/>
      <c r="E139" s="167"/>
      <c r="F139" s="3"/>
      <c r="G139" s="20"/>
      <c r="H139" s="3"/>
      <c r="I139" s="3"/>
      <c r="J139" s="20"/>
      <c r="K139" s="3"/>
      <c r="L139" s="3"/>
      <c r="M139" s="20"/>
      <c r="N139" s="3"/>
      <c r="O139" s="3"/>
      <c r="P139" s="20"/>
      <c r="Q139" s="3"/>
      <c r="R139" s="3"/>
      <c r="S139" s="20"/>
      <c r="T139" s="3"/>
      <c r="U139" s="3"/>
      <c r="V139" s="20"/>
      <c r="W139" s="3"/>
      <c r="X139" s="3"/>
      <c r="Y139" s="20"/>
      <c r="Z139" s="3"/>
      <c r="AA139" s="3"/>
      <c r="AB139" s="20"/>
      <c r="AC139" s="3"/>
      <c r="AD139" s="3"/>
      <c r="AE139" s="20"/>
      <c r="AF139" s="3"/>
      <c r="AG139" s="3"/>
      <c r="AH139" s="20"/>
      <c r="AI139" s="3"/>
      <c r="AJ139" s="3"/>
      <c r="AK139" s="20"/>
      <c r="AL139" s="3"/>
      <c r="AM139" s="3"/>
    </row>
    <row r="140" spans="1:39" ht="30" customHeight="1">
      <c r="A140" s="170"/>
      <c r="B140" s="169"/>
      <c r="C140" s="168"/>
      <c r="D140" s="168"/>
      <c r="E140" s="167"/>
      <c r="F140" s="40" t="s">
        <v>40</v>
      </c>
      <c r="G140" s="7"/>
      <c r="H140" s="6"/>
      <c r="I140" s="6"/>
      <c r="J140" s="7"/>
      <c r="K140" s="6"/>
      <c r="L140" s="6"/>
      <c r="M140" s="7"/>
      <c r="N140" s="6"/>
      <c r="O140" s="6"/>
      <c r="P140" s="7"/>
      <c r="Q140" s="6"/>
      <c r="R140" s="6"/>
      <c r="S140" s="7"/>
      <c r="T140" s="6"/>
      <c r="U140" s="6"/>
      <c r="V140" s="7"/>
      <c r="W140" s="6"/>
      <c r="X140" s="6"/>
      <c r="Y140" s="7"/>
      <c r="Z140" s="6"/>
      <c r="AA140" s="6"/>
      <c r="AB140" s="7"/>
      <c r="AC140" s="6"/>
      <c r="AD140" s="6"/>
      <c r="AE140" s="7"/>
      <c r="AF140" s="6"/>
      <c r="AG140" s="6"/>
      <c r="AH140" s="7"/>
      <c r="AI140" s="6"/>
      <c r="AJ140" s="6"/>
      <c r="AK140" s="7"/>
      <c r="AL140" s="6"/>
      <c r="AM140" s="6"/>
    </row>
    <row r="141" spans="1:39" ht="15" customHeight="1" thickBot="1">
      <c r="A141" s="170"/>
      <c r="B141" s="169"/>
      <c r="C141" s="168"/>
      <c r="D141" s="168"/>
      <c r="E141" s="167"/>
      <c r="F141" s="26" t="s">
        <v>287</v>
      </c>
      <c r="G141" s="172"/>
      <c r="H141" s="9"/>
      <c r="I141" s="9"/>
      <c r="J141" s="172"/>
      <c r="K141" s="9"/>
      <c r="L141" s="9"/>
      <c r="M141" s="172"/>
      <c r="N141" s="9"/>
      <c r="O141" s="9"/>
      <c r="P141" s="172"/>
      <c r="Q141" s="9"/>
      <c r="R141" s="9"/>
      <c r="S141" s="172"/>
      <c r="T141" s="9"/>
      <c r="U141" s="9"/>
      <c r="V141" s="172"/>
      <c r="W141" s="9"/>
      <c r="X141" s="9"/>
      <c r="Y141" s="172"/>
      <c r="Z141" s="9"/>
      <c r="AA141" s="9"/>
      <c r="AB141" s="172"/>
      <c r="AC141" s="9"/>
      <c r="AD141" s="9"/>
      <c r="AE141" s="172"/>
      <c r="AF141" s="9"/>
      <c r="AG141" s="9"/>
      <c r="AH141" s="172"/>
      <c r="AI141" s="9"/>
      <c r="AJ141" s="9"/>
      <c r="AK141" s="172"/>
      <c r="AL141" s="9"/>
      <c r="AM141" s="9"/>
    </row>
    <row r="142" spans="1:39" ht="15" customHeight="1" thickTop="1">
      <c r="A142" s="170" t="s">
        <v>325</v>
      </c>
      <c r="B142" s="169" t="s">
        <v>337</v>
      </c>
      <c r="C142" s="168" t="s">
        <v>133</v>
      </c>
      <c r="D142" s="168">
        <v>1</v>
      </c>
      <c r="E142" s="167" t="str">
        <f ca="1">_xll.DBRA("mfc:skz",B142,"Group")</f>
        <v>Group sales w/o petroleum tax</v>
      </c>
      <c r="F142" s="27" t="s">
        <v>187</v>
      </c>
      <c r="G142" s="184" t="e">
        <f ca="1">_xll.DBRW($A$1,$C142,$B142,G$3,G$1,G$2,$A142)*$D142</f>
        <v>#VALUE!</v>
      </c>
      <c r="H142" s="16" t="e">
        <f ca="1">_xll.DBRW($A$1,$C142,$B142,H$3,H$1,H$2,$A142)*$D142</f>
        <v>#VALUE!</v>
      </c>
      <c r="I142" s="16" t="e">
        <f t="shared" ref="I142:I147" ca="1" si="55">+G142-H142</f>
        <v>#VALUE!</v>
      </c>
      <c r="J142" s="184" t="e">
        <f ca="1">_xll.DBRW($A$1,$C142,$B142,J$3,J$1,J$2,$A142)*$D142</f>
        <v>#VALUE!</v>
      </c>
      <c r="K142" s="16" t="e">
        <f ca="1">_xll.DBRW($A$1,$C142,$B142,K$3,K$1,K$2,$A142)*$D142</f>
        <v>#VALUE!</v>
      </c>
      <c r="L142" s="16" t="e">
        <f t="shared" ref="L142:L147" ca="1" si="56">+J142-K142</f>
        <v>#VALUE!</v>
      </c>
      <c r="M142" s="184" t="e">
        <f ca="1">_xll.DBRW($A$1,$C142,$B142,M$3,M$1,M$2,$A142)*$D142</f>
        <v>#VALUE!</v>
      </c>
      <c r="N142" s="16" t="e">
        <f ca="1">_xll.DBRW($A$1,$C142,$B142,N$3,N$1,N$2,$A142)*$D142</f>
        <v>#VALUE!</v>
      </c>
      <c r="O142" s="16" t="e">
        <f t="shared" ref="O142:O147" ca="1" si="57">+M142-N142</f>
        <v>#VALUE!</v>
      </c>
      <c r="P142" s="184" t="e">
        <f ca="1">_xll.DBRW($A$1,$C142,$B142,P$3,P$1,P$2,$A142)*$D142</f>
        <v>#VALUE!</v>
      </c>
      <c r="Q142" s="16" t="e">
        <f ca="1">_xll.DBRW($A$1,$C142,$B142,Q$3,Q$1,Q$2,$A142)*$D142</f>
        <v>#VALUE!</v>
      </c>
      <c r="R142" s="16" t="e">
        <f t="shared" ref="R142:R147" ca="1" si="58">+P142-Q142</f>
        <v>#VALUE!</v>
      </c>
      <c r="S142" s="184" t="e">
        <f ca="1">_xll.DBRW($A$1,$C142,$B142,S$3,S$1,S$2,$A142)*$D142</f>
        <v>#VALUE!</v>
      </c>
      <c r="T142" s="16" t="e">
        <f ca="1">_xll.DBRW($A$1,$C142,$B142,T$3,T$1,T$2,$A142)*$D142</f>
        <v>#VALUE!</v>
      </c>
      <c r="U142" s="16" t="e">
        <f t="shared" ref="U142:U147" ca="1" si="59">+S142-T142</f>
        <v>#VALUE!</v>
      </c>
      <c r="V142" s="184" t="e">
        <f ca="1">_xll.DBRW($A$1,$C142,$B142,V$3,V$1,V$2,$A142)*$D142</f>
        <v>#VALUE!</v>
      </c>
      <c r="W142" s="16" t="e">
        <f ca="1">_xll.DBRW($A$1,$C142,$B142,W$3,W$1,W$2,$A142)*$D142</f>
        <v>#VALUE!</v>
      </c>
      <c r="X142" s="16" t="e">
        <f t="shared" ref="X142:X147" ca="1" si="60">+V142-W142</f>
        <v>#VALUE!</v>
      </c>
      <c r="Y142" s="184" t="e">
        <f ca="1">_xll.DBRW($A$1,$C142,$B142,Y$3,Y$1,Y$2,$A142)*$D142</f>
        <v>#VALUE!</v>
      </c>
      <c r="Z142" s="16" t="e">
        <f ca="1">_xll.DBRW($A$1,$C142,$B142,Z$3,Z$1,Z$2,$A142)*$D142</f>
        <v>#VALUE!</v>
      </c>
      <c r="AA142" s="16" t="e">
        <f t="shared" ref="AA142:AA147" ca="1" si="61">+Y142-Z142</f>
        <v>#VALUE!</v>
      </c>
      <c r="AB142" s="184" t="e">
        <f ca="1">_xll.DBRW($A$1,$C142,$B142,AB$3,AB$1,AB$2,$A142)*$D142</f>
        <v>#VALUE!</v>
      </c>
      <c r="AC142" s="16" t="e">
        <f ca="1">_xll.DBRW($A$1,$C142,$B142,AC$3,AC$1,AC$2,$A142)*$D142</f>
        <v>#VALUE!</v>
      </c>
      <c r="AD142" s="16" t="e">
        <f t="shared" ref="AD142:AD147" ca="1" si="62">+AB142-AC142</f>
        <v>#VALUE!</v>
      </c>
      <c r="AE142" s="184" t="e">
        <f ca="1">_xll.DBRW($A$1,$C142,$B142,AE$3,AE$1,AE$2,$A142)*$D142</f>
        <v>#VALUE!</v>
      </c>
      <c r="AF142" s="16" t="e">
        <f ca="1">_xll.DBRW($A$1,$C142,$B142,AF$3,AF$1,AF$2,$A142)*$D142</f>
        <v>#VALUE!</v>
      </c>
      <c r="AG142" s="16" t="e">
        <f t="shared" ref="AG142:AG147" ca="1" si="63">+AE142-AF142</f>
        <v>#VALUE!</v>
      </c>
      <c r="AH142" s="184" t="e">
        <f ca="1">_xll.DBRW($A$1,$C142,$B142,AH$3,AH$1,AH$2,$A142)*$D142</f>
        <v>#VALUE!</v>
      </c>
      <c r="AI142" s="16" t="e">
        <f ca="1">_xll.DBRW($A$1,$C142,$B142,AI$3,AI$1,AI$2,$A142)*$D142</f>
        <v>#VALUE!</v>
      </c>
      <c r="AJ142" s="16" t="e">
        <f t="shared" ref="AJ142:AJ147" ca="1" si="64">+AH142-AI142</f>
        <v>#VALUE!</v>
      </c>
      <c r="AK142" s="184" t="e">
        <f ca="1">_xll.DBRW($A$1,$C142,$B142,AK$3,AK$1,AK$2,$A142)*$D142</f>
        <v>#VALUE!</v>
      </c>
      <c r="AL142" s="16" t="e">
        <f ca="1">_xll.DBRW($A$1,$C142,$B142,AL$3,AL$1,AL$2,$A142)*$D142</f>
        <v>#VALUE!</v>
      </c>
      <c r="AM142" s="16" t="e">
        <f t="shared" ref="AM142:AM147" ca="1" si="65">+AK142-AL142</f>
        <v>#VALUE!</v>
      </c>
    </row>
    <row r="143" spans="1:39" ht="15" customHeight="1">
      <c r="A143" s="170" t="s">
        <v>331</v>
      </c>
      <c r="B143" s="169" t="s">
        <v>337</v>
      </c>
      <c r="C143" s="168" t="s">
        <v>133</v>
      </c>
      <c r="D143" s="168">
        <v>1</v>
      </c>
      <c r="E143" s="167" t="str">
        <f ca="1">_xll.DBRA("mfc:skz",B143,"Group")</f>
        <v>Group sales w/o petroleum tax</v>
      </c>
      <c r="F143" s="27" t="s">
        <v>188</v>
      </c>
      <c r="G143" s="184" t="e">
        <f ca="1">_xll.DBRW($A$1,$C143,$B143,G$3,G$1,G$2,$A143)*$D143</f>
        <v>#VALUE!</v>
      </c>
      <c r="H143" s="16" t="e">
        <f ca="1">_xll.DBRW($A$1,$C143,$B143,H$3,H$1,H$2,$A143)*$D143</f>
        <v>#VALUE!</v>
      </c>
      <c r="I143" s="16" t="e">
        <f t="shared" ca="1" si="55"/>
        <v>#VALUE!</v>
      </c>
      <c r="J143" s="184" t="e">
        <f ca="1">_xll.DBRW($A$1,$C143,$B143,J$3,J$1,J$2,$A143)*$D143</f>
        <v>#VALUE!</v>
      </c>
      <c r="K143" s="16" t="e">
        <f ca="1">_xll.DBRW($A$1,$C143,$B143,K$3,K$1,K$2,$A143)*$D143</f>
        <v>#VALUE!</v>
      </c>
      <c r="L143" s="16" t="e">
        <f t="shared" ca="1" si="56"/>
        <v>#VALUE!</v>
      </c>
      <c r="M143" s="184" t="e">
        <f ca="1">_xll.DBRW($A$1,$C143,$B143,M$3,M$1,M$2,$A143)*$D143</f>
        <v>#VALUE!</v>
      </c>
      <c r="N143" s="16" t="e">
        <f ca="1">_xll.DBRW($A$1,$C143,$B143,N$3,N$1,N$2,$A143)*$D143</f>
        <v>#VALUE!</v>
      </c>
      <c r="O143" s="16" t="e">
        <f t="shared" ca="1" si="57"/>
        <v>#VALUE!</v>
      </c>
      <c r="P143" s="184" t="e">
        <f ca="1">_xll.DBRW($A$1,$C143,$B143,P$3,P$1,P$2,$A143)*$D143</f>
        <v>#VALUE!</v>
      </c>
      <c r="Q143" s="16" t="e">
        <f ca="1">_xll.DBRW($A$1,$C143,$B143,Q$3,Q$1,Q$2,$A143)*$D143</f>
        <v>#VALUE!</v>
      </c>
      <c r="R143" s="16" t="e">
        <f t="shared" ca="1" si="58"/>
        <v>#VALUE!</v>
      </c>
      <c r="S143" s="184" t="e">
        <f ca="1">_xll.DBRW($A$1,$C143,$B143,S$3,S$1,S$2,$A143)*$D143</f>
        <v>#VALUE!</v>
      </c>
      <c r="T143" s="16" t="e">
        <f ca="1">_xll.DBRW($A$1,$C143,$B143,T$3,T$1,T$2,$A143)*$D143</f>
        <v>#VALUE!</v>
      </c>
      <c r="U143" s="16" t="e">
        <f t="shared" ca="1" si="59"/>
        <v>#VALUE!</v>
      </c>
      <c r="V143" s="184" t="e">
        <f ca="1">_xll.DBRW($A$1,$C143,$B143,V$3,V$1,V$2,$A143)*$D143</f>
        <v>#VALUE!</v>
      </c>
      <c r="W143" s="16" t="e">
        <f ca="1">_xll.DBRW($A$1,$C143,$B143,W$3,W$1,W$2,$A143)*$D143</f>
        <v>#VALUE!</v>
      </c>
      <c r="X143" s="16" t="e">
        <f t="shared" ca="1" si="60"/>
        <v>#VALUE!</v>
      </c>
      <c r="Y143" s="184" t="e">
        <f ca="1">_xll.DBRW($A$1,$C143,$B143,Y$3,Y$1,Y$2,$A143)*$D143</f>
        <v>#VALUE!</v>
      </c>
      <c r="Z143" s="16" t="e">
        <f ca="1">_xll.DBRW($A$1,$C143,$B143,Z$3,Z$1,Z$2,$A143)*$D143</f>
        <v>#VALUE!</v>
      </c>
      <c r="AA143" s="16" t="e">
        <f t="shared" ca="1" si="61"/>
        <v>#VALUE!</v>
      </c>
      <c r="AB143" s="184" t="e">
        <f ca="1">_xll.DBRW($A$1,$C143,$B143,AB$3,AB$1,AB$2,$A143)*$D143</f>
        <v>#VALUE!</v>
      </c>
      <c r="AC143" s="16" t="e">
        <f ca="1">_xll.DBRW($A$1,$C143,$B143,AC$3,AC$1,AC$2,$A143)*$D143</f>
        <v>#VALUE!</v>
      </c>
      <c r="AD143" s="16" t="e">
        <f t="shared" ca="1" si="62"/>
        <v>#VALUE!</v>
      </c>
      <c r="AE143" s="184" t="e">
        <f ca="1">_xll.DBRW($A$1,$C143,$B143,AE$3,AE$1,AE$2,$A143)*$D143</f>
        <v>#VALUE!</v>
      </c>
      <c r="AF143" s="16" t="e">
        <f ca="1">_xll.DBRW($A$1,$C143,$B143,AF$3,AF$1,AF$2,$A143)*$D143</f>
        <v>#VALUE!</v>
      </c>
      <c r="AG143" s="16" t="e">
        <f t="shared" ca="1" si="63"/>
        <v>#VALUE!</v>
      </c>
      <c r="AH143" s="184" t="e">
        <f ca="1">_xll.DBRW($A$1,$C143,$B143,AH$3,AH$1,AH$2,$A143)*$D143</f>
        <v>#VALUE!</v>
      </c>
      <c r="AI143" s="16" t="e">
        <f ca="1">_xll.DBRW($A$1,$C143,$B143,AI$3,AI$1,AI$2,$A143)*$D143</f>
        <v>#VALUE!</v>
      </c>
      <c r="AJ143" s="16" t="e">
        <f t="shared" ca="1" si="64"/>
        <v>#VALUE!</v>
      </c>
      <c r="AK143" s="184" t="e">
        <f ca="1">_xll.DBRW($A$1,$C143,$B143,AK$3,AK$1,AK$2,$A143)*$D143</f>
        <v>#VALUE!</v>
      </c>
      <c r="AL143" s="16" t="e">
        <f ca="1">_xll.DBRW($A$1,$C143,$B143,AL$3,AL$1,AL$2,$A143)*$D143</f>
        <v>#VALUE!</v>
      </c>
      <c r="AM143" s="16" t="e">
        <f t="shared" ca="1" si="65"/>
        <v>#VALUE!</v>
      </c>
    </row>
    <row r="144" spans="1:39" ht="15" customHeight="1">
      <c r="A144" s="170" t="s">
        <v>330</v>
      </c>
      <c r="B144" s="169" t="s">
        <v>337</v>
      </c>
      <c r="C144" s="168" t="s">
        <v>133</v>
      </c>
      <c r="D144" s="168">
        <v>1</v>
      </c>
      <c r="E144" s="167" t="str">
        <f ca="1">_xll.DBRA("mfc:skz",B144,"Group")</f>
        <v>Group sales w/o petroleum tax</v>
      </c>
      <c r="F144" s="62" t="s">
        <v>190</v>
      </c>
      <c r="G144" s="184" t="e">
        <f ca="1">_xll.DBRW($A$1,$C144,$B144,G$3,G$1,G$2,$A144)*$D144</f>
        <v>#VALUE!</v>
      </c>
      <c r="H144" s="16" t="e">
        <f ca="1">_xll.DBRW($A$1,$C144,$B144,H$3,H$1,H$2,$A144)*$D144</f>
        <v>#VALUE!</v>
      </c>
      <c r="I144" s="16" t="e">
        <f t="shared" ca="1" si="55"/>
        <v>#VALUE!</v>
      </c>
      <c r="J144" s="184" t="e">
        <f ca="1">_xll.DBRW($A$1,$C144,$B144,J$3,J$1,J$2,$A144)*$D144</f>
        <v>#VALUE!</v>
      </c>
      <c r="K144" s="16" t="e">
        <f ca="1">_xll.DBRW($A$1,$C144,$B144,K$3,K$1,K$2,$A144)*$D144</f>
        <v>#VALUE!</v>
      </c>
      <c r="L144" s="16" t="e">
        <f t="shared" ca="1" si="56"/>
        <v>#VALUE!</v>
      </c>
      <c r="M144" s="184" t="e">
        <f ca="1">_xll.DBRW($A$1,$C144,$B144,M$3,M$1,M$2,$A144)*$D144</f>
        <v>#VALUE!</v>
      </c>
      <c r="N144" s="16" t="e">
        <f ca="1">_xll.DBRW($A$1,$C144,$B144,N$3,N$1,N$2,$A144)*$D144</f>
        <v>#VALUE!</v>
      </c>
      <c r="O144" s="16" t="e">
        <f t="shared" ca="1" si="57"/>
        <v>#VALUE!</v>
      </c>
      <c r="P144" s="184" t="e">
        <f ca="1">_xll.DBRW($A$1,$C144,$B144,P$3,P$1,P$2,$A144)*$D144</f>
        <v>#VALUE!</v>
      </c>
      <c r="Q144" s="16" t="e">
        <f ca="1">_xll.DBRW($A$1,$C144,$B144,Q$3,Q$1,Q$2,$A144)*$D144</f>
        <v>#VALUE!</v>
      </c>
      <c r="R144" s="16" t="e">
        <f t="shared" ca="1" si="58"/>
        <v>#VALUE!</v>
      </c>
      <c r="S144" s="184" t="e">
        <f ca="1">_xll.DBRW($A$1,$C144,$B144,S$3,S$1,S$2,$A144)*$D144</f>
        <v>#VALUE!</v>
      </c>
      <c r="T144" s="16" t="e">
        <f ca="1">_xll.DBRW($A$1,$C144,$B144,T$3,T$1,T$2,$A144)*$D144</f>
        <v>#VALUE!</v>
      </c>
      <c r="U144" s="16" t="e">
        <f t="shared" ca="1" si="59"/>
        <v>#VALUE!</v>
      </c>
      <c r="V144" s="184" t="e">
        <f ca="1">_xll.DBRW($A$1,$C144,$B144,V$3,V$1,V$2,$A144)*$D144</f>
        <v>#VALUE!</v>
      </c>
      <c r="W144" s="16" t="e">
        <f ca="1">_xll.DBRW($A$1,$C144,$B144,W$3,W$1,W$2,$A144)*$D144</f>
        <v>#VALUE!</v>
      </c>
      <c r="X144" s="16" t="e">
        <f t="shared" ca="1" si="60"/>
        <v>#VALUE!</v>
      </c>
      <c r="Y144" s="184" t="e">
        <f ca="1">_xll.DBRW($A$1,$C144,$B144,Y$3,Y$1,Y$2,$A144)*$D144</f>
        <v>#VALUE!</v>
      </c>
      <c r="Z144" s="16" t="e">
        <f ca="1">_xll.DBRW($A$1,$C144,$B144,Z$3,Z$1,Z$2,$A144)*$D144</f>
        <v>#VALUE!</v>
      </c>
      <c r="AA144" s="16" t="e">
        <f t="shared" ca="1" si="61"/>
        <v>#VALUE!</v>
      </c>
      <c r="AB144" s="184" t="e">
        <f ca="1">_xll.DBRW($A$1,$C144,$B144,AB$3,AB$1,AB$2,$A144)*$D144</f>
        <v>#VALUE!</v>
      </c>
      <c r="AC144" s="16" t="e">
        <f ca="1">_xll.DBRW($A$1,$C144,$B144,AC$3,AC$1,AC$2,$A144)*$D144</f>
        <v>#VALUE!</v>
      </c>
      <c r="AD144" s="16" t="e">
        <f t="shared" ca="1" si="62"/>
        <v>#VALUE!</v>
      </c>
      <c r="AE144" s="184" t="e">
        <f ca="1">_xll.DBRW($A$1,$C144,$B144,AE$3,AE$1,AE$2,$A144)*$D144</f>
        <v>#VALUE!</v>
      </c>
      <c r="AF144" s="16" t="e">
        <f ca="1">_xll.DBRW($A$1,$C144,$B144,AF$3,AF$1,AF$2,$A144)*$D144</f>
        <v>#VALUE!</v>
      </c>
      <c r="AG144" s="16" t="e">
        <f t="shared" ca="1" si="63"/>
        <v>#VALUE!</v>
      </c>
      <c r="AH144" s="184" t="e">
        <f ca="1">_xll.DBRW($A$1,$C144,$B144,AH$3,AH$1,AH$2,$A144)*$D144</f>
        <v>#VALUE!</v>
      </c>
      <c r="AI144" s="16" t="e">
        <f ca="1">_xll.DBRW($A$1,$C144,$B144,AI$3,AI$1,AI$2,$A144)*$D144</f>
        <v>#VALUE!</v>
      </c>
      <c r="AJ144" s="16" t="e">
        <f t="shared" ca="1" si="64"/>
        <v>#VALUE!</v>
      </c>
      <c r="AK144" s="184" t="e">
        <f ca="1">_xll.DBRW($A$1,$C144,$B144,AK$3,AK$1,AK$2,$A144)*$D144</f>
        <v>#VALUE!</v>
      </c>
      <c r="AL144" s="16" t="e">
        <f ca="1">_xll.DBRW($A$1,$C144,$B144,AL$3,AL$1,AL$2,$A144)*$D144</f>
        <v>#VALUE!</v>
      </c>
      <c r="AM144" s="16" t="e">
        <f t="shared" ca="1" si="65"/>
        <v>#VALUE!</v>
      </c>
    </row>
    <row r="145" spans="1:39" ht="15" customHeight="1">
      <c r="A145" s="170" t="s">
        <v>322</v>
      </c>
      <c r="B145" s="169" t="s">
        <v>337</v>
      </c>
      <c r="C145" s="168" t="s">
        <v>133</v>
      </c>
      <c r="D145" s="168">
        <v>1</v>
      </c>
      <c r="E145" s="167" t="str">
        <f ca="1">_xll.DBRA("mfc:skz",B145,"Group")</f>
        <v>Group sales w/o petroleum tax</v>
      </c>
      <c r="F145" s="62" t="s">
        <v>191</v>
      </c>
      <c r="G145" s="184" t="e">
        <f ca="1">_xll.DBRW($A$1,$C145,$B145,G$3,G$1,G$2,$A145)*$D145</f>
        <v>#VALUE!</v>
      </c>
      <c r="H145" s="16" t="e">
        <f ca="1">_xll.DBRW($A$1,$C145,$B145,H$3,H$1,H$2,$A145)*$D145</f>
        <v>#VALUE!</v>
      </c>
      <c r="I145" s="16" t="e">
        <f t="shared" ca="1" si="55"/>
        <v>#VALUE!</v>
      </c>
      <c r="J145" s="184" t="e">
        <f ca="1">_xll.DBRW($A$1,$C145,$B145,J$3,J$1,J$2,$A145)*$D145</f>
        <v>#VALUE!</v>
      </c>
      <c r="K145" s="16" t="e">
        <f ca="1">_xll.DBRW($A$1,$C145,$B145,K$3,K$1,K$2,$A145)*$D145</f>
        <v>#VALUE!</v>
      </c>
      <c r="L145" s="16" t="e">
        <f t="shared" ca="1" si="56"/>
        <v>#VALUE!</v>
      </c>
      <c r="M145" s="184" t="e">
        <f ca="1">_xll.DBRW($A$1,$C145,$B145,M$3,M$1,M$2,$A145)*$D145</f>
        <v>#VALUE!</v>
      </c>
      <c r="N145" s="16" t="e">
        <f ca="1">_xll.DBRW($A$1,$C145,$B145,N$3,N$1,N$2,$A145)*$D145</f>
        <v>#VALUE!</v>
      </c>
      <c r="O145" s="16" t="e">
        <f t="shared" ca="1" si="57"/>
        <v>#VALUE!</v>
      </c>
      <c r="P145" s="184" t="e">
        <f ca="1">_xll.DBRW($A$1,$C145,$B145,P$3,P$1,P$2,$A145)*$D145</f>
        <v>#VALUE!</v>
      </c>
      <c r="Q145" s="16" t="e">
        <f ca="1">_xll.DBRW($A$1,$C145,$B145,Q$3,Q$1,Q$2,$A145)*$D145</f>
        <v>#VALUE!</v>
      </c>
      <c r="R145" s="16" t="e">
        <f t="shared" ca="1" si="58"/>
        <v>#VALUE!</v>
      </c>
      <c r="S145" s="184" t="e">
        <f ca="1">_xll.DBRW($A$1,$C145,$B145,S$3,S$1,S$2,$A145)*$D145</f>
        <v>#VALUE!</v>
      </c>
      <c r="T145" s="16" t="e">
        <f ca="1">_xll.DBRW($A$1,$C145,$B145,T$3,T$1,T$2,$A145)*$D145</f>
        <v>#VALUE!</v>
      </c>
      <c r="U145" s="16" t="e">
        <f t="shared" ca="1" si="59"/>
        <v>#VALUE!</v>
      </c>
      <c r="V145" s="184" t="e">
        <f ca="1">_xll.DBRW($A$1,$C145,$B145,V$3,V$1,V$2,$A145)*$D145</f>
        <v>#VALUE!</v>
      </c>
      <c r="W145" s="16" t="e">
        <f ca="1">_xll.DBRW($A$1,$C145,$B145,W$3,W$1,W$2,$A145)*$D145</f>
        <v>#VALUE!</v>
      </c>
      <c r="X145" s="16" t="e">
        <f t="shared" ca="1" si="60"/>
        <v>#VALUE!</v>
      </c>
      <c r="Y145" s="184" t="e">
        <f ca="1">_xll.DBRW($A$1,$C145,$B145,Y$3,Y$1,Y$2,$A145)*$D145</f>
        <v>#VALUE!</v>
      </c>
      <c r="Z145" s="16" t="e">
        <f ca="1">_xll.DBRW($A$1,$C145,$B145,Z$3,Z$1,Z$2,$A145)*$D145</f>
        <v>#VALUE!</v>
      </c>
      <c r="AA145" s="16" t="e">
        <f t="shared" ca="1" si="61"/>
        <v>#VALUE!</v>
      </c>
      <c r="AB145" s="184" t="e">
        <f ca="1">_xll.DBRW($A$1,$C145,$B145,AB$3,AB$1,AB$2,$A145)*$D145</f>
        <v>#VALUE!</v>
      </c>
      <c r="AC145" s="16" t="e">
        <f ca="1">_xll.DBRW($A$1,$C145,$B145,AC$3,AC$1,AC$2,$A145)*$D145</f>
        <v>#VALUE!</v>
      </c>
      <c r="AD145" s="16" t="e">
        <f t="shared" ca="1" si="62"/>
        <v>#VALUE!</v>
      </c>
      <c r="AE145" s="184" t="e">
        <f ca="1">_xll.DBRW($A$1,$C145,$B145,AE$3,AE$1,AE$2,$A145)*$D145</f>
        <v>#VALUE!</v>
      </c>
      <c r="AF145" s="16" t="e">
        <f ca="1">_xll.DBRW($A$1,$C145,$B145,AF$3,AF$1,AF$2,$A145)*$D145</f>
        <v>#VALUE!</v>
      </c>
      <c r="AG145" s="16" t="e">
        <f t="shared" ca="1" si="63"/>
        <v>#VALUE!</v>
      </c>
      <c r="AH145" s="184" t="e">
        <f ca="1">_xll.DBRW($A$1,$C145,$B145,AH$3,AH$1,AH$2,$A145)*$D145</f>
        <v>#VALUE!</v>
      </c>
      <c r="AI145" s="16" t="e">
        <f ca="1">_xll.DBRW($A$1,$C145,$B145,AI$3,AI$1,AI$2,$A145)*$D145</f>
        <v>#VALUE!</v>
      </c>
      <c r="AJ145" s="16" t="e">
        <f t="shared" ca="1" si="64"/>
        <v>#VALUE!</v>
      </c>
      <c r="AK145" s="184" t="e">
        <f ca="1">_xll.DBRW($A$1,$C145,$B145,AK$3,AK$1,AK$2,$A145)*$D145</f>
        <v>#VALUE!</v>
      </c>
      <c r="AL145" s="16" t="e">
        <f ca="1">_xll.DBRW($A$1,$C145,$B145,AL$3,AL$1,AL$2,$A145)*$D145</f>
        <v>#VALUE!</v>
      </c>
      <c r="AM145" s="16" t="e">
        <f t="shared" ca="1" si="65"/>
        <v>#VALUE!</v>
      </c>
    </row>
    <row r="146" spans="1:39" ht="15" customHeight="1">
      <c r="A146" s="170" t="s">
        <v>321</v>
      </c>
      <c r="B146" s="169" t="s">
        <v>337</v>
      </c>
      <c r="C146" s="168" t="s">
        <v>133</v>
      </c>
      <c r="D146" s="168">
        <v>1</v>
      </c>
      <c r="E146" s="167" t="str">
        <f ca="1">_xll.DBRA("mfc:skz",B146,"Group")</f>
        <v>Group sales w/o petroleum tax</v>
      </c>
      <c r="F146" s="28" t="s">
        <v>38</v>
      </c>
      <c r="G146" s="189" t="e">
        <f ca="1">_xll.DBRW($A$1,$C146,$B146,G$3,G$1,G$2,$A146)*$D146</f>
        <v>#VALUE!</v>
      </c>
      <c r="H146" s="17" t="e">
        <f ca="1">_xll.DBRW($A$1,$C146,$B146,H$3,H$1,H$2,$A146)*$D146</f>
        <v>#VALUE!</v>
      </c>
      <c r="I146" s="17" t="e">
        <f t="shared" ca="1" si="55"/>
        <v>#VALUE!</v>
      </c>
      <c r="J146" s="189" t="e">
        <f ca="1">_xll.DBRW($A$1,$C146,$B146,J$3,J$1,J$2,$A146)*$D146</f>
        <v>#VALUE!</v>
      </c>
      <c r="K146" s="17" t="e">
        <f ca="1">_xll.DBRW($A$1,$C146,$B146,K$3,K$1,K$2,$A146)*$D146</f>
        <v>#VALUE!</v>
      </c>
      <c r="L146" s="17" t="e">
        <f t="shared" ca="1" si="56"/>
        <v>#VALUE!</v>
      </c>
      <c r="M146" s="189" t="e">
        <f ca="1">_xll.DBRW($A$1,$C146,$B146,M$3,M$1,M$2,$A146)*$D146</f>
        <v>#VALUE!</v>
      </c>
      <c r="N146" s="17" t="e">
        <f ca="1">_xll.DBRW($A$1,$C146,$B146,N$3,N$1,N$2,$A146)*$D146</f>
        <v>#VALUE!</v>
      </c>
      <c r="O146" s="17" t="e">
        <f t="shared" ca="1" si="57"/>
        <v>#VALUE!</v>
      </c>
      <c r="P146" s="189" t="e">
        <f ca="1">_xll.DBRW($A$1,$C146,$B146,P$3,P$1,P$2,$A146)*$D146</f>
        <v>#VALUE!</v>
      </c>
      <c r="Q146" s="17" t="e">
        <f ca="1">_xll.DBRW($A$1,$C146,$B146,Q$3,Q$1,Q$2,$A146)*$D146</f>
        <v>#VALUE!</v>
      </c>
      <c r="R146" s="17" t="e">
        <f t="shared" ca="1" si="58"/>
        <v>#VALUE!</v>
      </c>
      <c r="S146" s="189" t="e">
        <f ca="1">_xll.DBRW($A$1,$C146,$B146,S$3,S$1,S$2,$A146)*$D146</f>
        <v>#VALUE!</v>
      </c>
      <c r="T146" s="17" t="e">
        <f ca="1">_xll.DBRW($A$1,$C146,$B146,T$3,T$1,T$2,$A146)*$D146</f>
        <v>#VALUE!</v>
      </c>
      <c r="U146" s="17" t="e">
        <f t="shared" ca="1" si="59"/>
        <v>#VALUE!</v>
      </c>
      <c r="V146" s="189" t="e">
        <f ca="1">_xll.DBRW($A$1,$C146,$B146,V$3,V$1,V$2,$A146)*$D146</f>
        <v>#VALUE!</v>
      </c>
      <c r="W146" s="17" t="e">
        <f ca="1">_xll.DBRW($A$1,$C146,$B146,W$3,W$1,W$2,$A146)*$D146</f>
        <v>#VALUE!</v>
      </c>
      <c r="X146" s="17" t="e">
        <f t="shared" ca="1" si="60"/>
        <v>#VALUE!</v>
      </c>
      <c r="Y146" s="189" t="e">
        <f ca="1">_xll.DBRW($A$1,$C146,$B146,Y$3,Y$1,Y$2,$A146)*$D146</f>
        <v>#VALUE!</v>
      </c>
      <c r="Z146" s="17" t="e">
        <f ca="1">_xll.DBRW($A$1,$C146,$B146,Z$3,Z$1,Z$2,$A146)*$D146</f>
        <v>#VALUE!</v>
      </c>
      <c r="AA146" s="17" t="e">
        <f t="shared" ca="1" si="61"/>
        <v>#VALUE!</v>
      </c>
      <c r="AB146" s="189" t="e">
        <f ca="1">_xll.DBRW($A$1,$C146,$B146,AB$3,AB$1,AB$2,$A146)*$D146</f>
        <v>#VALUE!</v>
      </c>
      <c r="AC146" s="17" t="e">
        <f ca="1">_xll.DBRW($A$1,$C146,$B146,AC$3,AC$1,AC$2,$A146)*$D146</f>
        <v>#VALUE!</v>
      </c>
      <c r="AD146" s="17" t="e">
        <f t="shared" ca="1" si="62"/>
        <v>#VALUE!</v>
      </c>
      <c r="AE146" s="189" t="e">
        <f ca="1">_xll.DBRW($A$1,$C146,$B146,AE$3,AE$1,AE$2,$A146)*$D146</f>
        <v>#VALUE!</v>
      </c>
      <c r="AF146" s="17" t="e">
        <f ca="1">_xll.DBRW($A$1,$C146,$B146,AF$3,AF$1,AF$2,$A146)*$D146</f>
        <v>#VALUE!</v>
      </c>
      <c r="AG146" s="17" t="e">
        <f t="shared" ca="1" si="63"/>
        <v>#VALUE!</v>
      </c>
      <c r="AH146" s="189" t="e">
        <f ca="1">_xll.DBRW($A$1,$C146,$B146,AH$3,AH$1,AH$2,$A146)*$D146</f>
        <v>#VALUE!</v>
      </c>
      <c r="AI146" s="17" t="e">
        <f ca="1">_xll.DBRW($A$1,$C146,$B146,AI$3,AI$1,AI$2,$A146)*$D146</f>
        <v>#VALUE!</v>
      </c>
      <c r="AJ146" s="17" t="e">
        <f t="shared" ca="1" si="64"/>
        <v>#VALUE!</v>
      </c>
      <c r="AK146" s="189" t="e">
        <f ca="1">_xll.DBRW($A$1,$C146,$B146,AK$3,AK$1,AK$2,$A146)*$D146</f>
        <v>#VALUE!</v>
      </c>
      <c r="AL146" s="17" t="e">
        <f ca="1">_xll.DBRW($A$1,$C146,$B146,AL$3,AL$1,AL$2,$A146)*$D146</f>
        <v>#VALUE!</v>
      </c>
      <c r="AM146" s="17" t="e">
        <f t="shared" ca="1" si="65"/>
        <v>#VALUE!</v>
      </c>
    </row>
    <row r="147" spans="1:39" ht="15" customHeight="1" thickBot="1">
      <c r="A147" s="170" t="s">
        <v>328</v>
      </c>
      <c r="B147" s="169" t="s">
        <v>337</v>
      </c>
      <c r="C147" s="168" t="s">
        <v>133</v>
      </c>
      <c r="D147" s="168">
        <v>1</v>
      </c>
      <c r="E147" s="167" t="str">
        <f ca="1">_xll.DBRA("mfc:skz",B147,"Group")</f>
        <v>Group sales w/o petroleum tax</v>
      </c>
      <c r="F147" s="54" t="s">
        <v>39</v>
      </c>
      <c r="G147" s="188" t="e">
        <f ca="1">_xll.DBRW($A$1,$C147,$B147,G$3,G$1,G$2,$A147)*$D147</f>
        <v>#VALUE!</v>
      </c>
      <c r="H147" s="18" t="e">
        <f ca="1">_xll.DBRW($A$1,$C147,$B147,H$3,H$1,H$2,$A147)*$D147</f>
        <v>#VALUE!</v>
      </c>
      <c r="I147" s="18" t="e">
        <f t="shared" ca="1" si="55"/>
        <v>#VALUE!</v>
      </c>
      <c r="J147" s="188" t="e">
        <f ca="1">_xll.DBRW($A$1,$C147,$B147,J$3,J$1,J$2,$A147)*$D147</f>
        <v>#VALUE!</v>
      </c>
      <c r="K147" s="18" t="e">
        <f ca="1">_xll.DBRW($A$1,$C147,$B147,K$3,K$1,K$2,$A147)*$D147</f>
        <v>#VALUE!</v>
      </c>
      <c r="L147" s="18" t="e">
        <f t="shared" ca="1" si="56"/>
        <v>#VALUE!</v>
      </c>
      <c r="M147" s="188" t="e">
        <f ca="1">_xll.DBRW($A$1,$C147,$B147,M$3,M$1,M$2,$A147)*$D147</f>
        <v>#VALUE!</v>
      </c>
      <c r="N147" s="18" t="e">
        <f ca="1">_xll.DBRW($A$1,$C147,$B147,N$3,N$1,N$2,$A147)*$D147</f>
        <v>#VALUE!</v>
      </c>
      <c r="O147" s="18" t="e">
        <f t="shared" ca="1" si="57"/>
        <v>#VALUE!</v>
      </c>
      <c r="P147" s="188" t="e">
        <f ca="1">_xll.DBRW($A$1,$C147,$B147,P$3,P$1,P$2,$A147)*$D147</f>
        <v>#VALUE!</v>
      </c>
      <c r="Q147" s="18" t="e">
        <f ca="1">_xll.DBRW($A$1,$C147,$B147,Q$3,Q$1,Q$2,$A147)*$D147</f>
        <v>#VALUE!</v>
      </c>
      <c r="R147" s="18" t="e">
        <f t="shared" ca="1" si="58"/>
        <v>#VALUE!</v>
      </c>
      <c r="S147" s="188" t="e">
        <f ca="1">_xll.DBRW($A$1,$C147,$B147,S$3,S$1,S$2,$A147)*$D147</f>
        <v>#VALUE!</v>
      </c>
      <c r="T147" s="18" t="e">
        <f ca="1">_xll.DBRW($A$1,$C147,$B147,T$3,T$1,T$2,$A147)*$D147</f>
        <v>#VALUE!</v>
      </c>
      <c r="U147" s="18" t="e">
        <f t="shared" ca="1" si="59"/>
        <v>#VALUE!</v>
      </c>
      <c r="V147" s="188" t="e">
        <f ca="1">_xll.DBRW($A$1,$C147,$B147,V$3,V$1,V$2,$A147)*$D147</f>
        <v>#VALUE!</v>
      </c>
      <c r="W147" s="18" t="e">
        <f ca="1">_xll.DBRW($A$1,$C147,$B147,W$3,W$1,W$2,$A147)*$D147</f>
        <v>#VALUE!</v>
      </c>
      <c r="X147" s="18" t="e">
        <f t="shared" ca="1" si="60"/>
        <v>#VALUE!</v>
      </c>
      <c r="Y147" s="188" t="e">
        <f ca="1">_xll.DBRW($A$1,$C147,$B147,Y$3,Y$1,Y$2,$A147)*$D147</f>
        <v>#VALUE!</v>
      </c>
      <c r="Z147" s="18" t="e">
        <f ca="1">_xll.DBRW($A$1,$C147,$B147,Z$3,Z$1,Z$2,$A147)*$D147</f>
        <v>#VALUE!</v>
      </c>
      <c r="AA147" s="18" t="e">
        <f t="shared" ca="1" si="61"/>
        <v>#VALUE!</v>
      </c>
      <c r="AB147" s="188" t="e">
        <f ca="1">_xll.DBRW($A$1,$C147,$B147,AB$3,AB$1,AB$2,$A147)*$D147</f>
        <v>#VALUE!</v>
      </c>
      <c r="AC147" s="18" t="e">
        <f ca="1">_xll.DBRW($A$1,$C147,$B147,AC$3,AC$1,AC$2,$A147)*$D147</f>
        <v>#VALUE!</v>
      </c>
      <c r="AD147" s="18" t="e">
        <f t="shared" ca="1" si="62"/>
        <v>#VALUE!</v>
      </c>
      <c r="AE147" s="188" t="e">
        <f ca="1">_xll.DBRW($A$1,$C147,$B147,AE$3,AE$1,AE$2,$A147)*$D147</f>
        <v>#VALUE!</v>
      </c>
      <c r="AF147" s="18" t="e">
        <f ca="1">_xll.DBRW($A$1,$C147,$B147,AF$3,AF$1,AF$2,$A147)*$D147</f>
        <v>#VALUE!</v>
      </c>
      <c r="AG147" s="18" t="e">
        <f t="shared" ca="1" si="63"/>
        <v>#VALUE!</v>
      </c>
      <c r="AH147" s="188" t="e">
        <f ca="1">_xll.DBRW($A$1,$C147,$B147,AH$3,AH$1,AH$2,$A147)*$D147</f>
        <v>#VALUE!</v>
      </c>
      <c r="AI147" s="18" t="e">
        <f ca="1">_xll.DBRW($A$1,$C147,$B147,AI$3,AI$1,AI$2,$A147)*$D147</f>
        <v>#VALUE!</v>
      </c>
      <c r="AJ147" s="18" t="e">
        <f t="shared" ca="1" si="64"/>
        <v>#VALUE!</v>
      </c>
      <c r="AK147" s="188" t="e">
        <f ca="1">_xll.DBRW($A$1,$C147,$B147,AK$3,AK$1,AK$2,$A147)*$D147</f>
        <v>#VALUE!</v>
      </c>
      <c r="AL147" s="18" t="e">
        <f ca="1">_xll.DBRW($A$1,$C147,$B147,AL$3,AL$1,AL$2,$A147)*$D147</f>
        <v>#VALUE!</v>
      </c>
      <c r="AM147" s="18" t="e">
        <f t="shared" ca="1" si="65"/>
        <v>#VALUE!</v>
      </c>
    </row>
    <row r="148" spans="1:39" ht="15" customHeight="1" thickTop="1">
      <c r="A148" s="170"/>
      <c r="B148" s="169"/>
      <c r="C148" s="168"/>
      <c r="D148" s="168"/>
      <c r="E148" s="167"/>
      <c r="F148" s="3"/>
      <c r="G148" s="20"/>
      <c r="H148" s="3"/>
      <c r="I148" s="3"/>
      <c r="J148" s="20"/>
      <c r="K148" s="3"/>
      <c r="L148" s="3"/>
      <c r="M148" s="20"/>
      <c r="N148" s="3"/>
      <c r="O148" s="3"/>
      <c r="P148" s="20"/>
      <c r="Q148" s="3"/>
      <c r="R148" s="3"/>
      <c r="S148" s="20"/>
      <c r="T148" s="3"/>
      <c r="U148" s="3"/>
      <c r="V148" s="20"/>
      <c r="W148" s="3"/>
      <c r="X148" s="3"/>
      <c r="Y148" s="20"/>
      <c r="Z148" s="3"/>
      <c r="AA148" s="3"/>
      <c r="AB148" s="20"/>
      <c r="AC148" s="3"/>
      <c r="AD148" s="3"/>
      <c r="AE148" s="20"/>
      <c r="AF148" s="3"/>
      <c r="AG148" s="3"/>
      <c r="AH148" s="20"/>
      <c r="AI148" s="3"/>
      <c r="AJ148" s="3"/>
      <c r="AK148" s="20"/>
      <c r="AL148" s="3"/>
      <c r="AM148" s="3"/>
    </row>
    <row r="149" spans="1:39" ht="15" customHeight="1">
      <c r="A149" s="170"/>
      <c r="B149" s="169"/>
      <c r="C149" s="168"/>
      <c r="D149" s="168"/>
      <c r="E149" s="167"/>
      <c r="F149" s="40" t="s">
        <v>177</v>
      </c>
      <c r="G149" s="7"/>
      <c r="H149" s="6"/>
      <c r="I149" s="6"/>
      <c r="J149" s="7"/>
      <c r="K149" s="6"/>
      <c r="L149" s="6"/>
      <c r="M149" s="7"/>
      <c r="N149" s="6"/>
      <c r="O149" s="6"/>
      <c r="P149" s="7"/>
      <c r="Q149" s="6"/>
      <c r="R149" s="6"/>
      <c r="S149" s="7"/>
      <c r="T149" s="6"/>
      <c r="U149" s="6"/>
      <c r="V149" s="7"/>
      <c r="W149" s="6"/>
      <c r="X149" s="6"/>
      <c r="Y149" s="7"/>
      <c r="Z149" s="6"/>
      <c r="AA149" s="6"/>
      <c r="AB149" s="7"/>
      <c r="AC149" s="6"/>
      <c r="AD149" s="6"/>
      <c r="AE149" s="7"/>
      <c r="AF149" s="6"/>
      <c r="AG149" s="6"/>
      <c r="AH149" s="7"/>
      <c r="AI149" s="6"/>
      <c r="AJ149" s="6"/>
      <c r="AK149" s="7"/>
      <c r="AL149" s="6"/>
      <c r="AM149" s="6"/>
    </row>
    <row r="150" spans="1:39" ht="30" customHeight="1" thickBot="1">
      <c r="A150" s="170"/>
      <c r="B150" s="169"/>
      <c r="C150" s="168"/>
      <c r="D150" s="168"/>
      <c r="E150" s="167"/>
      <c r="F150" s="26" t="s">
        <v>287</v>
      </c>
      <c r="G150" s="172"/>
      <c r="H150" s="9"/>
      <c r="I150" s="9"/>
      <c r="J150" s="172"/>
      <c r="K150" s="9"/>
      <c r="L150" s="9"/>
      <c r="M150" s="172"/>
      <c r="N150" s="9"/>
      <c r="O150" s="9"/>
      <c r="P150" s="172"/>
      <c r="Q150" s="9"/>
      <c r="R150" s="9"/>
      <c r="S150" s="172"/>
      <c r="T150" s="9"/>
      <c r="U150" s="9"/>
      <c r="V150" s="172"/>
      <c r="W150" s="9"/>
      <c r="X150" s="9"/>
      <c r="Y150" s="172"/>
      <c r="Z150" s="9"/>
      <c r="AA150" s="9"/>
      <c r="AB150" s="172"/>
      <c r="AC150" s="9"/>
      <c r="AD150" s="9"/>
      <c r="AE150" s="172"/>
      <c r="AF150" s="9"/>
      <c r="AG150" s="9"/>
      <c r="AH150" s="172"/>
      <c r="AI150" s="9"/>
      <c r="AJ150" s="9"/>
      <c r="AK150" s="172"/>
      <c r="AL150" s="9"/>
      <c r="AM150" s="9"/>
    </row>
    <row r="151" spans="1:39" ht="15" customHeight="1" thickTop="1">
      <c r="A151" s="170" t="s">
        <v>325</v>
      </c>
      <c r="B151" s="169" t="s">
        <v>336</v>
      </c>
      <c r="C151" s="168" t="s">
        <v>133</v>
      </c>
      <c r="D151" s="168">
        <v>1</v>
      </c>
      <c r="E151" s="167" t="str">
        <f ca="1">_xll.DBRA("mfc:skz",B151,"Group")</f>
        <v>Segment sales w/o petroleum tax</v>
      </c>
      <c r="F151" s="27" t="s">
        <v>187</v>
      </c>
      <c r="G151" s="184" t="e">
        <f ca="1">_xll.DBRW($A$1,$C151,$B151,G$3,G$1,G$2,$A151)*$D151</f>
        <v>#VALUE!</v>
      </c>
      <c r="H151" s="16" t="e">
        <f ca="1">_xll.DBRW($A$1,$C151,$B151,H$3,H$1,H$2,$A151)*$D151</f>
        <v>#VALUE!</v>
      </c>
      <c r="I151" s="16" t="e">
        <f t="shared" ref="I151:I157" ca="1" si="66">+G151-H151</f>
        <v>#VALUE!</v>
      </c>
      <c r="J151" s="184" t="e">
        <f ca="1">_xll.DBRW($A$1,$C151,$B151,J$3,J$1,J$2,$A151)*$D151</f>
        <v>#VALUE!</v>
      </c>
      <c r="K151" s="16" t="e">
        <f ca="1">_xll.DBRW($A$1,$C151,$B151,K$3,K$1,K$2,$A151)*$D151</f>
        <v>#VALUE!</v>
      </c>
      <c r="L151" s="16" t="e">
        <f t="shared" ref="L151:L157" ca="1" si="67">+J151-K151</f>
        <v>#VALUE!</v>
      </c>
      <c r="M151" s="184" t="e">
        <f ca="1">_xll.DBRW($A$1,$C151,$B151,M$3,M$1,M$2,$A151)*$D151</f>
        <v>#VALUE!</v>
      </c>
      <c r="N151" s="16" t="e">
        <f ca="1">_xll.DBRW($A$1,$C151,$B151,N$3,N$1,N$2,$A151)*$D151</f>
        <v>#VALUE!</v>
      </c>
      <c r="O151" s="16" t="e">
        <f t="shared" ref="O151:O157" ca="1" si="68">+M151-N151</f>
        <v>#VALUE!</v>
      </c>
      <c r="P151" s="184" t="e">
        <f ca="1">_xll.DBRW($A$1,$C151,$B151,P$3,P$1,P$2,$A151)*$D151</f>
        <v>#VALUE!</v>
      </c>
      <c r="Q151" s="16" t="e">
        <f ca="1">_xll.DBRW($A$1,$C151,$B151,Q$3,Q$1,Q$2,$A151)*$D151</f>
        <v>#VALUE!</v>
      </c>
      <c r="R151" s="16" t="e">
        <f t="shared" ref="R151:R157" ca="1" si="69">+P151-Q151</f>
        <v>#VALUE!</v>
      </c>
      <c r="S151" s="184" t="e">
        <f ca="1">_xll.DBRW($A$1,$C151,$B151,S$3,S$1,S$2,$A151)*$D151</f>
        <v>#VALUE!</v>
      </c>
      <c r="T151" s="16" t="e">
        <f ca="1">_xll.DBRW($A$1,$C151,$B151,T$3,T$1,T$2,$A151)*$D151</f>
        <v>#VALUE!</v>
      </c>
      <c r="U151" s="16" t="e">
        <f t="shared" ref="U151:U157" ca="1" si="70">+S151-T151</f>
        <v>#VALUE!</v>
      </c>
      <c r="V151" s="184" t="e">
        <f ca="1">_xll.DBRW($A$1,$C151,$B151,V$3,V$1,V$2,$A151)*$D151</f>
        <v>#VALUE!</v>
      </c>
      <c r="W151" s="16" t="e">
        <f ca="1">_xll.DBRW($A$1,$C151,$B151,W$3,W$1,W$2,$A151)*$D151</f>
        <v>#VALUE!</v>
      </c>
      <c r="X151" s="16" t="e">
        <f t="shared" ref="X151:X157" ca="1" si="71">+V151-W151</f>
        <v>#VALUE!</v>
      </c>
      <c r="Y151" s="184" t="e">
        <f ca="1">_xll.DBRW($A$1,$C151,$B151,Y$3,Y$1,Y$2,$A151)*$D151</f>
        <v>#VALUE!</v>
      </c>
      <c r="Z151" s="16" t="e">
        <f ca="1">_xll.DBRW($A$1,$C151,$B151,Z$3,Z$1,Z$2,$A151)*$D151</f>
        <v>#VALUE!</v>
      </c>
      <c r="AA151" s="16" t="e">
        <f t="shared" ref="AA151:AA157" ca="1" si="72">+Y151-Z151</f>
        <v>#VALUE!</v>
      </c>
      <c r="AB151" s="184" t="e">
        <f ca="1">_xll.DBRW($A$1,$C151,$B151,AB$3,AB$1,AB$2,$A151)*$D151</f>
        <v>#VALUE!</v>
      </c>
      <c r="AC151" s="16" t="e">
        <f ca="1">_xll.DBRW($A$1,$C151,$B151,AC$3,AC$1,AC$2,$A151)*$D151</f>
        <v>#VALUE!</v>
      </c>
      <c r="AD151" s="16" t="e">
        <f t="shared" ref="AD151:AD157" ca="1" si="73">+AB151-AC151</f>
        <v>#VALUE!</v>
      </c>
      <c r="AE151" s="184" t="e">
        <f ca="1">_xll.DBRW($A$1,$C151,$B151,AE$3,AE$1,AE$2,$A151)*$D151</f>
        <v>#VALUE!</v>
      </c>
      <c r="AF151" s="16" t="e">
        <f ca="1">_xll.DBRW($A$1,$C151,$B151,AF$3,AF$1,AF$2,$A151)*$D151</f>
        <v>#VALUE!</v>
      </c>
      <c r="AG151" s="16" t="e">
        <f t="shared" ref="AG151:AG157" ca="1" si="74">+AE151-AF151</f>
        <v>#VALUE!</v>
      </c>
      <c r="AH151" s="184" t="e">
        <f ca="1">_xll.DBRW($A$1,$C151,$B151,AH$3,AH$1,AH$2,$A151)*$D151</f>
        <v>#VALUE!</v>
      </c>
      <c r="AI151" s="16" t="e">
        <f ca="1">_xll.DBRW($A$1,$C151,$B151,AI$3,AI$1,AI$2,$A151)*$D151</f>
        <v>#VALUE!</v>
      </c>
      <c r="AJ151" s="16" t="e">
        <f t="shared" ref="AJ151:AJ157" ca="1" si="75">+AH151-AI151</f>
        <v>#VALUE!</v>
      </c>
      <c r="AK151" s="184" t="e">
        <f ca="1">_xll.DBRW($A$1,$C151,$B151,AK$3,AK$1,AK$2,$A151)*$D151</f>
        <v>#VALUE!</v>
      </c>
      <c r="AL151" s="16" t="e">
        <f ca="1">_xll.DBRW($A$1,$C151,$B151,AL$3,AL$1,AL$2,$A151)*$D151</f>
        <v>#VALUE!</v>
      </c>
      <c r="AM151" s="16" t="e">
        <f t="shared" ref="AM151:AM157" ca="1" si="76">+AK151-AL151</f>
        <v>#VALUE!</v>
      </c>
    </row>
    <row r="152" spans="1:39" ht="15" customHeight="1">
      <c r="A152" s="170" t="s">
        <v>331</v>
      </c>
      <c r="B152" s="169" t="s">
        <v>336</v>
      </c>
      <c r="C152" s="168" t="s">
        <v>133</v>
      </c>
      <c r="D152" s="168">
        <v>1</v>
      </c>
      <c r="E152" s="167" t="str">
        <f ca="1">_xll.DBRA("mfc:skz",B152,"Group")</f>
        <v>Segment sales w/o petroleum tax</v>
      </c>
      <c r="F152" s="27" t="s">
        <v>188</v>
      </c>
      <c r="G152" s="184" t="e">
        <f ca="1">_xll.DBRW($A$1,$C152,$B152,G$3,G$1,G$2,$A152)*$D152</f>
        <v>#VALUE!</v>
      </c>
      <c r="H152" s="16" t="e">
        <f ca="1">_xll.DBRW($A$1,$C152,$B152,H$3,H$1,H$2,$A152)*$D152</f>
        <v>#VALUE!</v>
      </c>
      <c r="I152" s="16" t="e">
        <f t="shared" ca="1" si="66"/>
        <v>#VALUE!</v>
      </c>
      <c r="J152" s="184" t="e">
        <f ca="1">_xll.DBRW($A$1,$C152,$B152,J$3,J$1,J$2,$A152)*$D152</f>
        <v>#VALUE!</v>
      </c>
      <c r="K152" s="16" t="e">
        <f ca="1">_xll.DBRW($A$1,$C152,$B152,K$3,K$1,K$2,$A152)*$D152</f>
        <v>#VALUE!</v>
      </c>
      <c r="L152" s="16" t="e">
        <f t="shared" ca="1" si="67"/>
        <v>#VALUE!</v>
      </c>
      <c r="M152" s="184" t="e">
        <f ca="1">_xll.DBRW($A$1,$C152,$B152,M$3,M$1,M$2,$A152)*$D152</f>
        <v>#VALUE!</v>
      </c>
      <c r="N152" s="16" t="e">
        <f ca="1">_xll.DBRW($A$1,$C152,$B152,N$3,N$1,N$2,$A152)*$D152</f>
        <v>#VALUE!</v>
      </c>
      <c r="O152" s="16" t="e">
        <f t="shared" ca="1" si="68"/>
        <v>#VALUE!</v>
      </c>
      <c r="P152" s="184" t="e">
        <f ca="1">_xll.DBRW($A$1,$C152,$B152,P$3,P$1,P$2,$A152)*$D152</f>
        <v>#VALUE!</v>
      </c>
      <c r="Q152" s="16" t="e">
        <f ca="1">_xll.DBRW($A$1,$C152,$B152,Q$3,Q$1,Q$2,$A152)*$D152</f>
        <v>#VALUE!</v>
      </c>
      <c r="R152" s="16" t="e">
        <f t="shared" ca="1" si="69"/>
        <v>#VALUE!</v>
      </c>
      <c r="S152" s="184" t="e">
        <f ca="1">_xll.DBRW($A$1,$C152,$B152,S$3,S$1,S$2,$A152)*$D152</f>
        <v>#VALUE!</v>
      </c>
      <c r="T152" s="16" t="e">
        <f ca="1">_xll.DBRW($A$1,$C152,$B152,T$3,T$1,T$2,$A152)*$D152</f>
        <v>#VALUE!</v>
      </c>
      <c r="U152" s="16" t="e">
        <f t="shared" ca="1" si="70"/>
        <v>#VALUE!</v>
      </c>
      <c r="V152" s="184" t="e">
        <f ca="1">_xll.DBRW($A$1,$C152,$B152,V$3,V$1,V$2,$A152)*$D152</f>
        <v>#VALUE!</v>
      </c>
      <c r="W152" s="16" t="e">
        <f ca="1">_xll.DBRW($A$1,$C152,$B152,W$3,W$1,W$2,$A152)*$D152</f>
        <v>#VALUE!</v>
      </c>
      <c r="X152" s="16" t="e">
        <f t="shared" ca="1" si="71"/>
        <v>#VALUE!</v>
      </c>
      <c r="Y152" s="184" t="e">
        <f ca="1">_xll.DBRW($A$1,$C152,$B152,Y$3,Y$1,Y$2,$A152)*$D152</f>
        <v>#VALUE!</v>
      </c>
      <c r="Z152" s="16" t="e">
        <f ca="1">_xll.DBRW($A$1,$C152,$B152,Z$3,Z$1,Z$2,$A152)*$D152</f>
        <v>#VALUE!</v>
      </c>
      <c r="AA152" s="16" t="e">
        <f t="shared" ca="1" si="72"/>
        <v>#VALUE!</v>
      </c>
      <c r="AB152" s="184" t="e">
        <f ca="1">_xll.DBRW($A$1,$C152,$B152,AB$3,AB$1,AB$2,$A152)*$D152</f>
        <v>#VALUE!</v>
      </c>
      <c r="AC152" s="16" t="e">
        <f ca="1">_xll.DBRW($A$1,$C152,$B152,AC$3,AC$1,AC$2,$A152)*$D152</f>
        <v>#VALUE!</v>
      </c>
      <c r="AD152" s="16" t="e">
        <f t="shared" ca="1" si="73"/>
        <v>#VALUE!</v>
      </c>
      <c r="AE152" s="184" t="e">
        <f ca="1">_xll.DBRW($A$1,$C152,$B152,AE$3,AE$1,AE$2,$A152)*$D152</f>
        <v>#VALUE!</v>
      </c>
      <c r="AF152" s="16" t="e">
        <f ca="1">_xll.DBRW($A$1,$C152,$B152,AF$3,AF$1,AF$2,$A152)*$D152</f>
        <v>#VALUE!</v>
      </c>
      <c r="AG152" s="16" t="e">
        <f t="shared" ca="1" si="74"/>
        <v>#VALUE!</v>
      </c>
      <c r="AH152" s="184" t="e">
        <f ca="1">_xll.DBRW($A$1,$C152,$B152,AH$3,AH$1,AH$2,$A152)*$D152</f>
        <v>#VALUE!</v>
      </c>
      <c r="AI152" s="16" t="e">
        <f ca="1">_xll.DBRW($A$1,$C152,$B152,AI$3,AI$1,AI$2,$A152)*$D152</f>
        <v>#VALUE!</v>
      </c>
      <c r="AJ152" s="16" t="e">
        <f t="shared" ca="1" si="75"/>
        <v>#VALUE!</v>
      </c>
      <c r="AK152" s="184" t="e">
        <f ca="1">_xll.DBRW($A$1,$C152,$B152,AK$3,AK$1,AK$2,$A152)*$D152</f>
        <v>#VALUE!</v>
      </c>
      <c r="AL152" s="16" t="e">
        <f ca="1">_xll.DBRW($A$1,$C152,$B152,AL$3,AL$1,AL$2,$A152)*$D152</f>
        <v>#VALUE!</v>
      </c>
      <c r="AM152" s="16" t="e">
        <f t="shared" ca="1" si="76"/>
        <v>#VALUE!</v>
      </c>
    </row>
    <row r="153" spans="1:39" ht="15" customHeight="1">
      <c r="A153" s="170" t="s">
        <v>330</v>
      </c>
      <c r="B153" s="169" t="s">
        <v>336</v>
      </c>
      <c r="C153" s="168" t="s">
        <v>133</v>
      </c>
      <c r="D153" s="168">
        <v>1</v>
      </c>
      <c r="E153" s="167" t="str">
        <f ca="1">_xll.DBRA("mfc:skz",B153,"Group")</f>
        <v>Segment sales w/o petroleum tax</v>
      </c>
      <c r="F153" s="62" t="s">
        <v>190</v>
      </c>
      <c r="G153" s="184" t="e">
        <f ca="1">_xll.DBRW($A$1,$C153,$B153,G$3,G$1,G$2,$A153)*$D153</f>
        <v>#VALUE!</v>
      </c>
      <c r="H153" s="16" t="e">
        <f ca="1">_xll.DBRW($A$1,$C153,$B153,H$3,H$1,H$2,$A153)*$D153</f>
        <v>#VALUE!</v>
      </c>
      <c r="I153" s="16" t="e">
        <f t="shared" ca="1" si="66"/>
        <v>#VALUE!</v>
      </c>
      <c r="J153" s="184" t="e">
        <f ca="1">_xll.DBRW($A$1,$C153,$B153,J$3,J$1,J$2,$A153)*$D153</f>
        <v>#VALUE!</v>
      </c>
      <c r="K153" s="16" t="e">
        <f ca="1">_xll.DBRW($A$1,$C153,$B153,K$3,K$1,K$2,$A153)*$D153</f>
        <v>#VALUE!</v>
      </c>
      <c r="L153" s="16" t="e">
        <f t="shared" ca="1" si="67"/>
        <v>#VALUE!</v>
      </c>
      <c r="M153" s="184" t="e">
        <f ca="1">_xll.DBRW($A$1,$C153,$B153,M$3,M$1,M$2,$A153)*$D153</f>
        <v>#VALUE!</v>
      </c>
      <c r="N153" s="16" t="e">
        <f ca="1">_xll.DBRW($A$1,$C153,$B153,N$3,N$1,N$2,$A153)*$D153</f>
        <v>#VALUE!</v>
      </c>
      <c r="O153" s="16" t="e">
        <f t="shared" ca="1" si="68"/>
        <v>#VALUE!</v>
      </c>
      <c r="P153" s="184" t="e">
        <f ca="1">_xll.DBRW($A$1,$C153,$B153,P$3,P$1,P$2,$A153)*$D153</f>
        <v>#VALUE!</v>
      </c>
      <c r="Q153" s="16" t="e">
        <f ca="1">_xll.DBRW($A$1,$C153,$B153,Q$3,Q$1,Q$2,$A153)*$D153</f>
        <v>#VALUE!</v>
      </c>
      <c r="R153" s="16" t="e">
        <f t="shared" ca="1" si="69"/>
        <v>#VALUE!</v>
      </c>
      <c r="S153" s="184" t="e">
        <f ca="1">_xll.DBRW($A$1,$C153,$B153,S$3,S$1,S$2,$A153)*$D153</f>
        <v>#VALUE!</v>
      </c>
      <c r="T153" s="16" t="e">
        <f ca="1">_xll.DBRW($A$1,$C153,$B153,T$3,T$1,T$2,$A153)*$D153</f>
        <v>#VALUE!</v>
      </c>
      <c r="U153" s="16" t="e">
        <f t="shared" ca="1" si="70"/>
        <v>#VALUE!</v>
      </c>
      <c r="V153" s="184" t="e">
        <f ca="1">_xll.DBRW($A$1,$C153,$B153,V$3,V$1,V$2,$A153)*$D153</f>
        <v>#VALUE!</v>
      </c>
      <c r="W153" s="16" t="e">
        <f ca="1">_xll.DBRW($A$1,$C153,$B153,W$3,W$1,W$2,$A153)*$D153</f>
        <v>#VALUE!</v>
      </c>
      <c r="X153" s="16" t="e">
        <f t="shared" ca="1" si="71"/>
        <v>#VALUE!</v>
      </c>
      <c r="Y153" s="184" t="e">
        <f ca="1">_xll.DBRW($A$1,$C153,$B153,Y$3,Y$1,Y$2,$A153)*$D153</f>
        <v>#VALUE!</v>
      </c>
      <c r="Z153" s="16" t="e">
        <f ca="1">_xll.DBRW($A$1,$C153,$B153,Z$3,Z$1,Z$2,$A153)*$D153</f>
        <v>#VALUE!</v>
      </c>
      <c r="AA153" s="16" t="e">
        <f t="shared" ca="1" si="72"/>
        <v>#VALUE!</v>
      </c>
      <c r="AB153" s="184" t="e">
        <f ca="1">_xll.DBRW($A$1,$C153,$B153,AB$3,AB$1,AB$2,$A153)*$D153</f>
        <v>#VALUE!</v>
      </c>
      <c r="AC153" s="16" t="e">
        <f ca="1">_xll.DBRW($A$1,$C153,$B153,AC$3,AC$1,AC$2,$A153)*$D153</f>
        <v>#VALUE!</v>
      </c>
      <c r="AD153" s="16" t="e">
        <f t="shared" ca="1" si="73"/>
        <v>#VALUE!</v>
      </c>
      <c r="AE153" s="184" t="e">
        <f ca="1">_xll.DBRW($A$1,$C153,$B153,AE$3,AE$1,AE$2,$A153)*$D153</f>
        <v>#VALUE!</v>
      </c>
      <c r="AF153" s="16" t="e">
        <f ca="1">_xll.DBRW($A$1,$C153,$B153,AF$3,AF$1,AF$2,$A153)*$D153</f>
        <v>#VALUE!</v>
      </c>
      <c r="AG153" s="16" t="e">
        <f t="shared" ca="1" si="74"/>
        <v>#VALUE!</v>
      </c>
      <c r="AH153" s="184" t="e">
        <f ca="1">_xll.DBRW($A$1,$C153,$B153,AH$3,AH$1,AH$2,$A153)*$D153</f>
        <v>#VALUE!</v>
      </c>
      <c r="AI153" s="16" t="e">
        <f ca="1">_xll.DBRW($A$1,$C153,$B153,AI$3,AI$1,AI$2,$A153)*$D153</f>
        <v>#VALUE!</v>
      </c>
      <c r="AJ153" s="16" t="e">
        <f t="shared" ca="1" si="75"/>
        <v>#VALUE!</v>
      </c>
      <c r="AK153" s="184" t="e">
        <f ca="1">_xll.DBRW($A$1,$C153,$B153,AK$3,AK$1,AK$2,$A153)*$D153</f>
        <v>#VALUE!</v>
      </c>
      <c r="AL153" s="16" t="e">
        <f ca="1">_xll.DBRW($A$1,$C153,$B153,AL$3,AL$1,AL$2,$A153)*$D153</f>
        <v>#VALUE!</v>
      </c>
      <c r="AM153" s="16" t="e">
        <f t="shared" ca="1" si="76"/>
        <v>#VALUE!</v>
      </c>
    </row>
    <row r="154" spans="1:39" ht="15" customHeight="1">
      <c r="A154" s="170" t="s">
        <v>322</v>
      </c>
      <c r="B154" s="169" t="s">
        <v>336</v>
      </c>
      <c r="C154" s="168" t="s">
        <v>133</v>
      </c>
      <c r="D154" s="168">
        <v>1</v>
      </c>
      <c r="E154" s="167" t="str">
        <f ca="1">_xll.DBRA("mfc:skz",B154,"Group")</f>
        <v>Segment sales w/o petroleum tax</v>
      </c>
      <c r="F154" s="62" t="s">
        <v>191</v>
      </c>
      <c r="G154" s="184" t="e">
        <f ca="1">_xll.DBRW($A$1,$C154,$B154,G$3,G$1,G$2,$A154)*$D154</f>
        <v>#VALUE!</v>
      </c>
      <c r="H154" s="16" t="e">
        <f ca="1">_xll.DBRW($A$1,$C154,$B154,H$3,H$1,H$2,$A154)*$D154</f>
        <v>#VALUE!</v>
      </c>
      <c r="I154" s="16" t="e">
        <f t="shared" ca="1" si="66"/>
        <v>#VALUE!</v>
      </c>
      <c r="J154" s="184" t="e">
        <f ca="1">_xll.DBRW($A$1,$C154,$B154,J$3,J$1,J$2,$A154)*$D154</f>
        <v>#VALUE!</v>
      </c>
      <c r="K154" s="16" t="e">
        <f ca="1">_xll.DBRW($A$1,$C154,$B154,K$3,K$1,K$2,$A154)*$D154</f>
        <v>#VALUE!</v>
      </c>
      <c r="L154" s="16" t="e">
        <f t="shared" ca="1" si="67"/>
        <v>#VALUE!</v>
      </c>
      <c r="M154" s="184" t="e">
        <f ca="1">_xll.DBRW($A$1,$C154,$B154,M$3,M$1,M$2,$A154)*$D154</f>
        <v>#VALUE!</v>
      </c>
      <c r="N154" s="16" t="e">
        <f ca="1">_xll.DBRW($A$1,$C154,$B154,N$3,N$1,N$2,$A154)*$D154</f>
        <v>#VALUE!</v>
      </c>
      <c r="O154" s="16" t="e">
        <f t="shared" ca="1" si="68"/>
        <v>#VALUE!</v>
      </c>
      <c r="P154" s="184" t="e">
        <f ca="1">_xll.DBRW($A$1,$C154,$B154,P$3,P$1,P$2,$A154)*$D154</f>
        <v>#VALUE!</v>
      </c>
      <c r="Q154" s="16" t="e">
        <f ca="1">_xll.DBRW($A$1,$C154,$B154,Q$3,Q$1,Q$2,$A154)*$D154</f>
        <v>#VALUE!</v>
      </c>
      <c r="R154" s="16" t="e">
        <f t="shared" ca="1" si="69"/>
        <v>#VALUE!</v>
      </c>
      <c r="S154" s="184" t="e">
        <f ca="1">_xll.DBRW($A$1,$C154,$B154,S$3,S$1,S$2,$A154)*$D154</f>
        <v>#VALUE!</v>
      </c>
      <c r="T154" s="16" t="e">
        <f ca="1">_xll.DBRW($A$1,$C154,$B154,T$3,T$1,T$2,$A154)*$D154</f>
        <v>#VALUE!</v>
      </c>
      <c r="U154" s="16" t="e">
        <f t="shared" ca="1" si="70"/>
        <v>#VALUE!</v>
      </c>
      <c r="V154" s="184" t="e">
        <f ca="1">_xll.DBRW($A$1,$C154,$B154,V$3,V$1,V$2,$A154)*$D154</f>
        <v>#VALUE!</v>
      </c>
      <c r="W154" s="16" t="e">
        <f ca="1">_xll.DBRW($A$1,$C154,$B154,W$3,W$1,W$2,$A154)*$D154</f>
        <v>#VALUE!</v>
      </c>
      <c r="X154" s="16" t="e">
        <f t="shared" ca="1" si="71"/>
        <v>#VALUE!</v>
      </c>
      <c r="Y154" s="184" t="e">
        <f ca="1">_xll.DBRW($A$1,$C154,$B154,Y$3,Y$1,Y$2,$A154)*$D154</f>
        <v>#VALUE!</v>
      </c>
      <c r="Z154" s="16" t="e">
        <f ca="1">_xll.DBRW($A$1,$C154,$B154,Z$3,Z$1,Z$2,$A154)*$D154</f>
        <v>#VALUE!</v>
      </c>
      <c r="AA154" s="16" t="e">
        <f t="shared" ca="1" si="72"/>
        <v>#VALUE!</v>
      </c>
      <c r="AB154" s="184" t="e">
        <f ca="1">_xll.DBRW($A$1,$C154,$B154,AB$3,AB$1,AB$2,$A154)*$D154</f>
        <v>#VALUE!</v>
      </c>
      <c r="AC154" s="16" t="e">
        <f ca="1">_xll.DBRW($A$1,$C154,$B154,AC$3,AC$1,AC$2,$A154)*$D154</f>
        <v>#VALUE!</v>
      </c>
      <c r="AD154" s="16" t="e">
        <f t="shared" ca="1" si="73"/>
        <v>#VALUE!</v>
      </c>
      <c r="AE154" s="184" t="e">
        <f ca="1">_xll.DBRW($A$1,$C154,$B154,AE$3,AE$1,AE$2,$A154)*$D154</f>
        <v>#VALUE!</v>
      </c>
      <c r="AF154" s="16" t="e">
        <f ca="1">_xll.DBRW($A$1,$C154,$B154,AF$3,AF$1,AF$2,$A154)*$D154</f>
        <v>#VALUE!</v>
      </c>
      <c r="AG154" s="16" t="e">
        <f t="shared" ca="1" si="74"/>
        <v>#VALUE!</v>
      </c>
      <c r="AH154" s="184" t="e">
        <f ca="1">_xll.DBRW($A$1,$C154,$B154,AH$3,AH$1,AH$2,$A154)*$D154</f>
        <v>#VALUE!</v>
      </c>
      <c r="AI154" s="16" t="e">
        <f ca="1">_xll.DBRW($A$1,$C154,$B154,AI$3,AI$1,AI$2,$A154)*$D154</f>
        <v>#VALUE!</v>
      </c>
      <c r="AJ154" s="16" t="e">
        <f t="shared" ca="1" si="75"/>
        <v>#VALUE!</v>
      </c>
      <c r="AK154" s="184" t="e">
        <f ca="1">_xll.DBRW($A$1,$C154,$B154,AK$3,AK$1,AK$2,$A154)*$D154</f>
        <v>#VALUE!</v>
      </c>
      <c r="AL154" s="16" t="e">
        <f ca="1">_xll.DBRW($A$1,$C154,$B154,AL$3,AL$1,AL$2,$A154)*$D154</f>
        <v>#VALUE!</v>
      </c>
      <c r="AM154" s="16" t="e">
        <f t="shared" ca="1" si="76"/>
        <v>#VALUE!</v>
      </c>
    </row>
    <row r="155" spans="1:39" ht="15" customHeight="1">
      <c r="A155" s="170" t="s">
        <v>212</v>
      </c>
      <c r="B155" s="169" t="s">
        <v>336</v>
      </c>
      <c r="C155" s="168" t="s">
        <v>133</v>
      </c>
      <c r="D155" s="168">
        <v>1</v>
      </c>
      <c r="E155" s="167" t="str">
        <f ca="1">_xll.DBRA("mfc:skz",B155,"Group")</f>
        <v>Segment sales w/o petroleum tax</v>
      </c>
      <c r="F155" s="103" t="s">
        <v>211</v>
      </c>
      <c r="G155" s="184" t="e">
        <f ca="1">_xll.DBRW($A$1,$C155,$B155,G$3,G$1,G$2,$A155)*$D155</f>
        <v>#VALUE!</v>
      </c>
      <c r="H155" s="16" t="e">
        <f ca="1">_xll.DBRW($A$1,$C155,$B155,H$3,H$1,H$2,$A155)*$D155</f>
        <v>#VALUE!</v>
      </c>
      <c r="I155" s="16" t="e">
        <f t="shared" ca="1" si="66"/>
        <v>#VALUE!</v>
      </c>
      <c r="J155" s="184" t="e">
        <f ca="1">_xll.DBRW($A$1,$C155,$B155,J$3,J$1,J$2,$A155)*$D155</f>
        <v>#VALUE!</v>
      </c>
      <c r="K155" s="16" t="e">
        <f ca="1">_xll.DBRW($A$1,$C155,$B155,K$3,K$1,K$2,$A155)*$D155</f>
        <v>#VALUE!</v>
      </c>
      <c r="L155" s="16" t="e">
        <f t="shared" ca="1" si="67"/>
        <v>#VALUE!</v>
      </c>
      <c r="M155" s="184" t="e">
        <f ca="1">_xll.DBRW($A$1,$C155,$B155,M$3,M$1,M$2,$A155)*$D155</f>
        <v>#VALUE!</v>
      </c>
      <c r="N155" s="16" t="e">
        <f ca="1">_xll.DBRW($A$1,$C155,$B155,N$3,N$1,N$2,$A155)*$D155</f>
        <v>#VALUE!</v>
      </c>
      <c r="O155" s="16" t="e">
        <f t="shared" ca="1" si="68"/>
        <v>#VALUE!</v>
      </c>
      <c r="P155" s="184" t="e">
        <f ca="1">_xll.DBRW($A$1,$C155,$B155,P$3,P$1,P$2,$A155)*$D155</f>
        <v>#VALUE!</v>
      </c>
      <c r="Q155" s="16" t="e">
        <f ca="1">_xll.DBRW($A$1,$C155,$B155,Q$3,Q$1,Q$2,$A155)*$D155</f>
        <v>#VALUE!</v>
      </c>
      <c r="R155" s="16" t="e">
        <f t="shared" ca="1" si="69"/>
        <v>#VALUE!</v>
      </c>
      <c r="S155" s="184" t="e">
        <f ca="1">_xll.DBRW($A$1,$C155,$B155,S$3,S$1,S$2,$A155)*$D155</f>
        <v>#VALUE!</v>
      </c>
      <c r="T155" s="16" t="e">
        <f ca="1">_xll.DBRW($A$1,$C155,$B155,T$3,T$1,T$2,$A155)*$D155</f>
        <v>#VALUE!</v>
      </c>
      <c r="U155" s="16" t="e">
        <f t="shared" ca="1" si="70"/>
        <v>#VALUE!</v>
      </c>
      <c r="V155" s="184" t="e">
        <f ca="1">_xll.DBRW($A$1,$C155,$B155,V$3,V$1,V$2,$A155)*$D155</f>
        <v>#VALUE!</v>
      </c>
      <c r="W155" s="16" t="e">
        <f ca="1">_xll.DBRW($A$1,$C155,$B155,W$3,W$1,W$2,$A155)*$D155</f>
        <v>#VALUE!</v>
      </c>
      <c r="X155" s="16" t="e">
        <f t="shared" ca="1" si="71"/>
        <v>#VALUE!</v>
      </c>
      <c r="Y155" s="184" t="e">
        <f ca="1">_xll.DBRW($A$1,$C155,$B155,Y$3,Y$1,Y$2,$A155)*$D155</f>
        <v>#VALUE!</v>
      </c>
      <c r="Z155" s="16" t="e">
        <f ca="1">_xll.DBRW($A$1,$C155,$B155,Z$3,Z$1,Z$2,$A155)*$D155</f>
        <v>#VALUE!</v>
      </c>
      <c r="AA155" s="16" t="e">
        <f t="shared" ca="1" si="72"/>
        <v>#VALUE!</v>
      </c>
      <c r="AB155" s="184" t="e">
        <f ca="1">_xll.DBRW($A$1,$C155,$B155,AB$3,AB$1,AB$2,$A155)*$D155</f>
        <v>#VALUE!</v>
      </c>
      <c r="AC155" s="16" t="e">
        <f ca="1">_xll.DBRW($A$1,$C155,$B155,AC$3,AC$1,AC$2,$A155)*$D155</f>
        <v>#VALUE!</v>
      </c>
      <c r="AD155" s="16" t="e">
        <f t="shared" ca="1" si="73"/>
        <v>#VALUE!</v>
      </c>
      <c r="AE155" s="184" t="e">
        <f ca="1">_xll.DBRW($A$1,$C155,$B155,AE$3,AE$1,AE$2,$A155)*$D155</f>
        <v>#VALUE!</v>
      </c>
      <c r="AF155" s="16" t="e">
        <f ca="1">_xll.DBRW($A$1,$C155,$B155,AF$3,AF$1,AF$2,$A155)*$D155</f>
        <v>#VALUE!</v>
      </c>
      <c r="AG155" s="16" t="e">
        <f t="shared" ca="1" si="74"/>
        <v>#VALUE!</v>
      </c>
      <c r="AH155" s="184" t="e">
        <f ca="1">_xll.DBRW($A$1,$C155,$B155,AH$3,AH$1,AH$2,$A155)*$D155</f>
        <v>#VALUE!</v>
      </c>
      <c r="AI155" s="16" t="e">
        <f ca="1">_xll.DBRW($A$1,$C155,$B155,AI$3,AI$1,AI$2,$A155)*$D155</f>
        <v>#VALUE!</v>
      </c>
      <c r="AJ155" s="16" t="e">
        <f t="shared" ca="1" si="75"/>
        <v>#VALUE!</v>
      </c>
      <c r="AK155" s="184" t="e">
        <f ca="1">_xll.DBRW($A$1,$C155,$B155,AK$3,AK$1,AK$2,$A155)*$D155</f>
        <v>#VALUE!</v>
      </c>
      <c r="AL155" s="16" t="e">
        <f ca="1">_xll.DBRW($A$1,$C155,$B155,AL$3,AL$1,AL$2,$A155)*$D155</f>
        <v>#VALUE!</v>
      </c>
      <c r="AM155" s="16" t="e">
        <f t="shared" ca="1" si="76"/>
        <v>#VALUE!</v>
      </c>
    </row>
    <row r="156" spans="1:39" ht="15" customHeight="1">
      <c r="A156" s="170" t="s">
        <v>321</v>
      </c>
      <c r="B156" s="169" t="s">
        <v>336</v>
      </c>
      <c r="C156" s="168" t="s">
        <v>133</v>
      </c>
      <c r="D156" s="168">
        <v>1</v>
      </c>
      <c r="E156" s="167" t="str">
        <f ca="1">_xll.DBRA("mfc:skz",B156,"Group")</f>
        <v>Segment sales w/o petroleum tax</v>
      </c>
      <c r="F156" s="28" t="s">
        <v>38</v>
      </c>
      <c r="G156" s="184" t="e">
        <f ca="1">_xll.DBRW($A$1,$C156,$B156,G$3,G$1,G$2,$A156)*$D156</f>
        <v>#VALUE!</v>
      </c>
      <c r="H156" s="16" t="e">
        <f ca="1">_xll.DBRW($A$1,$C156,$B156,H$3,H$1,H$2,$A156)*$D156</f>
        <v>#VALUE!</v>
      </c>
      <c r="I156" s="16" t="e">
        <f t="shared" ca="1" si="66"/>
        <v>#VALUE!</v>
      </c>
      <c r="J156" s="184" t="e">
        <f ca="1">_xll.DBRW($A$1,$C156,$B156,J$3,J$1,J$2,$A156)*$D156</f>
        <v>#VALUE!</v>
      </c>
      <c r="K156" s="16" t="e">
        <f ca="1">_xll.DBRW($A$1,$C156,$B156,K$3,K$1,K$2,$A156)*$D156</f>
        <v>#VALUE!</v>
      </c>
      <c r="L156" s="16" t="e">
        <f t="shared" ca="1" si="67"/>
        <v>#VALUE!</v>
      </c>
      <c r="M156" s="184" t="e">
        <f ca="1">_xll.DBRW($A$1,$C156,$B156,M$3,M$1,M$2,$A156)*$D156</f>
        <v>#VALUE!</v>
      </c>
      <c r="N156" s="16" t="e">
        <f ca="1">_xll.DBRW($A$1,$C156,$B156,N$3,N$1,N$2,$A156)*$D156</f>
        <v>#VALUE!</v>
      </c>
      <c r="O156" s="16" t="e">
        <f t="shared" ca="1" si="68"/>
        <v>#VALUE!</v>
      </c>
      <c r="P156" s="184" t="e">
        <f ca="1">_xll.DBRW($A$1,$C156,$B156,P$3,P$1,P$2,$A156)*$D156</f>
        <v>#VALUE!</v>
      </c>
      <c r="Q156" s="16" t="e">
        <f ca="1">_xll.DBRW($A$1,$C156,$B156,Q$3,Q$1,Q$2,$A156)*$D156</f>
        <v>#VALUE!</v>
      </c>
      <c r="R156" s="16" t="e">
        <f t="shared" ca="1" si="69"/>
        <v>#VALUE!</v>
      </c>
      <c r="S156" s="184" t="e">
        <f ca="1">_xll.DBRW($A$1,$C156,$B156,S$3,S$1,S$2,$A156)*$D156</f>
        <v>#VALUE!</v>
      </c>
      <c r="T156" s="16" t="e">
        <f ca="1">_xll.DBRW($A$1,$C156,$B156,T$3,T$1,T$2,$A156)*$D156</f>
        <v>#VALUE!</v>
      </c>
      <c r="U156" s="16" t="e">
        <f t="shared" ca="1" si="70"/>
        <v>#VALUE!</v>
      </c>
      <c r="V156" s="184" t="e">
        <f ca="1">_xll.DBRW($A$1,$C156,$B156,V$3,V$1,V$2,$A156)*$D156</f>
        <v>#VALUE!</v>
      </c>
      <c r="W156" s="16" t="e">
        <f ca="1">_xll.DBRW($A$1,$C156,$B156,W$3,W$1,W$2,$A156)*$D156</f>
        <v>#VALUE!</v>
      </c>
      <c r="X156" s="16" t="e">
        <f t="shared" ca="1" si="71"/>
        <v>#VALUE!</v>
      </c>
      <c r="Y156" s="184" t="e">
        <f ca="1">_xll.DBRW($A$1,$C156,$B156,Y$3,Y$1,Y$2,$A156)*$D156</f>
        <v>#VALUE!</v>
      </c>
      <c r="Z156" s="16" t="e">
        <f ca="1">_xll.DBRW($A$1,$C156,$B156,Z$3,Z$1,Z$2,$A156)*$D156</f>
        <v>#VALUE!</v>
      </c>
      <c r="AA156" s="16" t="e">
        <f t="shared" ca="1" si="72"/>
        <v>#VALUE!</v>
      </c>
      <c r="AB156" s="184" t="e">
        <f ca="1">_xll.DBRW($A$1,$C156,$B156,AB$3,AB$1,AB$2,$A156)*$D156</f>
        <v>#VALUE!</v>
      </c>
      <c r="AC156" s="16" t="e">
        <f ca="1">_xll.DBRW($A$1,$C156,$B156,AC$3,AC$1,AC$2,$A156)*$D156</f>
        <v>#VALUE!</v>
      </c>
      <c r="AD156" s="16" t="e">
        <f t="shared" ca="1" si="73"/>
        <v>#VALUE!</v>
      </c>
      <c r="AE156" s="184" t="e">
        <f ca="1">_xll.DBRW($A$1,$C156,$B156,AE$3,AE$1,AE$2,$A156)*$D156</f>
        <v>#VALUE!</v>
      </c>
      <c r="AF156" s="16" t="e">
        <f ca="1">_xll.DBRW($A$1,$C156,$B156,AF$3,AF$1,AF$2,$A156)*$D156</f>
        <v>#VALUE!</v>
      </c>
      <c r="AG156" s="16" t="e">
        <f t="shared" ca="1" si="74"/>
        <v>#VALUE!</v>
      </c>
      <c r="AH156" s="184" t="e">
        <f ca="1">_xll.DBRW($A$1,$C156,$B156,AH$3,AH$1,AH$2,$A156)*$D156</f>
        <v>#VALUE!</v>
      </c>
      <c r="AI156" s="16" t="e">
        <f ca="1">_xll.DBRW($A$1,$C156,$B156,AI$3,AI$1,AI$2,$A156)*$D156</f>
        <v>#VALUE!</v>
      </c>
      <c r="AJ156" s="16" t="e">
        <f t="shared" ca="1" si="75"/>
        <v>#VALUE!</v>
      </c>
      <c r="AK156" s="184" t="e">
        <f ca="1">_xll.DBRW($A$1,$C156,$B156,AK$3,AK$1,AK$2,$A156)*$D156</f>
        <v>#VALUE!</v>
      </c>
      <c r="AL156" s="16" t="e">
        <f ca="1">_xll.DBRW($A$1,$C156,$B156,AL$3,AL$1,AL$2,$A156)*$D156</f>
        <v>#VALUE!</v>
      </c>
      <c r="AM156" s="16" t="e">
        <f t="shared" ca="1" si="76"/>
        <v>#VALUE!</v>
      </c>
    </row>
    <row r="157" spans="1:39" ht="15" customHeight="1" thickBot="1">
      <c r="A157" s="170" t="s">
        <v>328</v>
      </c>
      <c r="B157" s="169" t="s">
        <v>336</v>
      </c>
      <c r="C157" s="168" t="s">
        <v>133</v>
      </c>
      <c r="D157" s="168">
        <v>1</v>
      </c>
      <c r="E157" s="167" t="str">
        <f ca="1">_xll.DBRA("mfc:skz",B157,"Group")</f>
        <v>Segment sales w/o petroleum tax</v>
      </c>
      <c r="F157" s="54" t="s">
        <v>39</v>
      </c>
      <c r="G157" s="188" t="e">
        <f ca="1">_xll.DBRW($A$1,$C157,$B157,G$3,G$1,G$2,$A157)*$D157</f>
        <v>#VALUE!</v>
      </c>
      <c r="H157" s="18" t="e">
        <f ca="1">_xll.DBRW($A$1,$C157,$B157,H$3,H$1,H$2,$A157)*$D157</f>
        <v>#VALUE!</v>
      </c>
      <c r="I157" s="18" t="e">
        <f t="shared" ca="1" si="66"/>
        <v>#VALUE!</v>
      </c>
      <c r="J157" s="188" t="e">
        <f ca="1">_xll.DBRW($A$1,$C157,$B157,J$3,J$1,J$2,$A157)*$D157</f>
        <v>#VALUE!</v>
      </c>
      <c r="K157" s="18" t="e">
        <f ca="1">_xll.DBRW($A$1,$C157,$B157,K$3,K$1,K$2,$A157)*$D157</f>
        <v>#VALUE!</v>
      </c>
      <c r="L157" s="18" t="e">
        <f t="shared" ca="1" si="67"/>
        <v>#VALUE!</v>
      </c>
      <c r="M157" s="188" t="e">
        <f ca="1">_xll.DBRW($A$1,$C157,$B157,M$3,M$1,M$2,$A157)*$D157</f>
        <v>#VALUE!</v>
      </c>
      <c r="N157" s="18" t="e">
        <f ca="1">_xll.DBRW($A$1,$C157,$B157,N$3,N$1,N$2,$A157)*$D157</f>
        <v>#VALUE!</v>
      </c>
      <c r="O157" s="18" t="e">
        <f t="shared" ca="1" si="68"/>
        <v>#VALUE!</v>
      </c>
      <c r="P157" s="188" t="e">
        <f ca="1">_xll.DBRW($A$1,$C157,$B157,P$3,P$1,P$2,$A157)*$D157</f>
        <v>#VALUE!</v>
      </c>
      <c r="Q157" s="18" t="e">
        <f ca="1">_xll.DBRW($A$1,$C157,$B157,Q$3,Q$1,Q$2,$A157)*$D157</f>
        <v>#VALUE!</v>
      </c>
      <c r="R157" s="18" t="e">
        <f t="shared" ca="1" si="69"/>
        <v>#VALUE!</v>
      </c>
      <c r="S157" s="188" t="e">
        <f ca="1">_xll.DBRW($A$1,$C157,$B157,S$3,S$1,S$2,$A157)*$D157</f>
        <v>#VALUE!</v>
      </c>
      <c r="T157" s="18" t="e">
        <f ca="1">_xll.DBRW($A$1,$C157,$B157,T$3,T$1,T$2,$A157)*$D157</f>
        <v>#VALUE!</v>
      </c>
      <c r="U157" s="18" t="e">
        <f t="shared" ca="1" si="70"/>
        <v>#VALUE!</v>
      </c>
      <c r="V157" s="188" t="e">
        <f ca="1">_xll.DBRW($A$1,$C157,$B157,V$3,V$1,V$2,$A157)*$D157</f>
        <v>#VALUE!</v>
      </c>
      <c r="W157" s="18" t="e">
        <f ca="1">_xll.DBRW($A$1,$C157,$B157,W$3,W$1,W$2,$A157)*$D157</f>
        <v>#VALUE!</v>
      </c>
      <c r="X157" s="18" t="e">
        <f t="shared" ca="1" si="71"/>
        <v>#VALUE!</v>
      </c>
      <c r="Y157" s="188" t="e">
        <f ca="1">_xll.DBRW($A$1,$C157,$B157,Y$3,Y$1,Y$2,$A157)*$D157</f>
        <v>#VALUE!</v>
      </c>
      <c r="Z157" s="18" t="e">
        <f ca="1">_xll.DBRW($A$1,$C157,$B157,Z$3,Z$1,Z$2,$A157)*$D157</f>
        <v>#VALUE!</v>
      </c>
      <c r="AA157" s="18" t="e">
        <f t="shared" ca="1" si="72"/>
        <v>#VALUE!</v>
      </c>
      <c r="AB157" s="188" t="e">
        <f ca="1">_xll.DBRW($A$1,$C157,$B157,AB$3,AB$1,AB$2,$A157)*$D157</f>
        <v>#VALUE!</v>
      </c>
      <c r="AC157" s="18" t="e">
        <f ca="1">_xll.DBRW($A$1,$C157,$B157,AC$3,AC$1,AC$2,$A157)*$D157</f>
        <v>#VALUE!</v>
      </c>
      <c r="AD157" s="18" t="e">
        <f t="shared" ca="1" si="73"/>
        <v>#VALUE!</v>
      </c>
      <c r="AE157" s="188" t="e">
        <f ca="1">_xll.DBRW($A$1,$C157,$B157,AE$3,AE$1,AE$2,$A157)*$D157</f>
        <v>#VALUE!</v>
      </c>
      <c r="AF157" s="18" t="e">
        <f ca="1">_xll.DBRW($A$1,$C157,$B157,AF$3,AF$1,AF$2,$A157)*$D157</f>
        <v>#VALUE!</v>
      </c>
      <c r="AG157" s="18" t="e">
        <f t="shared" ca="1" si="74"/>
        <v>#VALUE!</v>
      </c>
      <c r="AH157" s="188" t="e">
        <f ca="1">_xll.DBRW($A$1,$C157,$B157,AH$3,AH$1,AH$2,$A157)*$D157</f>
        <v>#VALUE!</v>
      </c>
      <c r="AI157" s="18" t="e">
        <f ca="1">_xll.DBRW($A$1,$C157,$B157,AI$3,AI$1,AI$2,$A157)*$D157</f>
        <v>#VALUE!</v>
      </c>
      <c r="AJ157" s="18" t="e">
        <f t="shared" ca="1" si="75"/>
        <v>#VALUE!</v>
      </c>
      <c r="AK157" s="188" t="e">
        <f ca="1">_xll.DBRW($A$1,$C157,$B157,AK$3,AK$1,AK$2,$A157)*$D157</f>
        <v>#VALUE!</v>
      </c>
      <c r="AL157" s="18" t="e">
        <f ca="1">_xll.DBRW($A$1,$C157,$B157,AL$3,AL$1,AL$2,$A157)*$D157</f>
        <v>#VALUE!</v>
      </c>
      <c r="AM157" s="18" t="e">
        <f t="shared" ca="1" si="76"/>
        <v>#VALUE!</v>
      </c>
    </row>
    <row r="158" spans="1:39" ht="15" customHeight="1" thickTop="1">
      <c r="A158" s="170"/>
      <c r="B158" s="169"/>
      <c r="C158" s="168"/>
      <c r="D158" s="168"/>
      <c r="E158" s="167"/>
      <c r="F158" s="3"/>
      <c r="G158" s="20"/>
      <c r="H158" s="3"/>
      <c r="I158" s="3"/>
      <c r="J158" s="20"/>
      <c r="K158" s="3"/>
      <c r="L158" s="3"/>
      <c r="M158" s="20"/>
      <c r="N158" s="3"/>
      <c r="O158" s="3"/>
      <c r="P158" s="20"/>
      <c r="Q158" s="3"/>
      <c r="R158" s="3"/>
      <c r="S158" s="20"/>
      <c r="T158" s="3"/>
      <c r="U158" s="3"/>
      <c r="V158" s="20"/>
      <c r="W158" s="3"/>
      <c r="X158" s="3"/>
      <c r="Y158" s="20"/>
      <c r="Z158" s="3"/>
      <c r="AA158" s="3"/>
      <c r="AB158" s="20"/>
      <c r="AC158" s="3"/>
      <c r="AD158" s="3"/>
      <c r="AE158" s="20"/>
      <c r="AF158" s="3"/>
      <c r="AG158" s="3"/>
      <c r="AH158" s="20"/>
      <c r="AI158" s="3"/>
      <c r="AJ158" s="3"/>
      <c r="AK158" s="20"/>
      <c r="AL158" s="3"/>
      <c r="AM158" s="3"/>
    </row>
    <row r="159" spans="1:39" ht="15" customHeight="1">
      <c r="A159" s="170"/>
      <c r="B159" s="169"/>
      <c r="C159" s="168"/>
      <c r="D159" s="168"/>
      <c r="E159" s="167"/>
      <c r="F159" s="40" t="s">
        <v>152</v>
      </c>
      <c r="G159" s="7"/>
      <c r="H159" s="6"/>
      <c r="I159" s="6"/>
      <c r="J159" s="7"/>
      <c r="K159" s="6"/>
      <c r="L159" s="6"/>
      <c r="M159" s="7"/>
      <c r="N159" s="6"/>
      <c r="O159" s="6"/>
      <c r="P159" s="7"/>
      <c r="Q159" s="6"/>
      <c r="R159" s="6"/>
      <c r="S159" s="7"/>
      <c r="T159" s="6"/>
      <c r="U159" s="6"/>
      <c r="V159" s="7"/>
      <c r="W159" s="6"/>
      <c r="X159" s="6"/>
      <c r="Y159" s="7"/>
      <c r="Z159" s="6"/>
      <c r="AA159" s="6"/>
      <c r="AB159" s="7"/>
      <c r="AC159" s="6"/>
      <c r="AD159" s="6"/>
      <c r="AE159" s="7"/>
      <c r="AF159" s="6"/>
      <c r="AG159" s="6"/>
      <c r="AH159" s="7"/>
      <c r="AI159" s="6"/>
      <c r="AJ159" s="6"/>
      <c r="AK159" s="7"/>
      <c r="AL159" s="6"/>
      <c r="AM159" s="6"/>
    </row>
    <row r="160" spans="1:39" ht="15" customHeight="1" thickBot="1">
      <c r="A160" s="170"/>
      <c r="B160" s="169"/>
      <c r="C160" s="168"/>
      <c r="D160" s="168"/>
      <c r="E160" s="167"/>
      <c r="F160" s="26" t="s">
        <v>287</v>
      </c>
      <c r="G160" s="172"/>
      <c r="H160" s="9"/>
      <c r="I160" s="9"/>
      <c r="J160" s="172"/>
      <c r="K160" s="9"/>
      <c r="L160" s="9"/>
      <c r="M160" s="172"/>
      <c r="N160" s="9"/>
      <c r="O160" s="9"/>
      <c r="P160" s="172"/>
      <c r="Q160" s="9"/>
      <c r="R160" s="9"/>
      <c r="S160" s="172"/>
      <c r="T160" s="9"/>
      <c r="U160" s="9"/>
      <c r="V160" s="172"/>
      <c r="W160" s="9"/>
      <c r="X160" s="9"/>
      <c r="Y160" s="172"/>
      <c r="Z160" s="9"/>
      <c r="AA160" s="9"/>
      <c r="AB160" s="172"/>
      <c r="AC160" s="9"/>
      <c r="AD160" s="9"/>
      <c r="AE160" s="172"/>
      <c r="AF160" s="9"/>
      <c r="AG160" s="9"/>
      <c r="AH160" s="172"/>
      <c r="AI160" s="9"/>
      <c r="AJ160" s="9"/>
      <c r="AK160" s="172"/>
      <c r="AL160" s="9"/>
      <c r="AM160" s="9"/>
    </row>
    <row r="161" spans="1:39" ht="15" customHeight="1" thickTop="1">
      <c r="A161" s="170" t="s">
        <v>325</v>
      </c>
      <c r="B161" s="169" t="s">
        <v>334</v>
      </c>
      <c r="C161" s="168" t="s">
        <v>133</v>
      </c>
      <c r="D161" s="168">
        <v>1</v>
      </c>
      <c r="E161" s="167" t="str">
        <f ca="1">_xll.DBRA("mfc:skz",B161,"Group")</f>
        <v>EBIT</v>
      </c>
      <c r="F161" s="42" t="s">
        <v>291</v>
      </c>
      <c r="G161" s="184" t="e">
        <f ca="1">_xll.DBRW($A$1,$C161,$B161,G$3,G$1,G$2,$A161)*$D161</f>
        <v>#VALUE!</v>
      </c>
      <c r="H161" s="10" t="e">
        <f ca="1">_xll.DBRW($A$1,$C161,$B161,H$3,H$1,H$2,$A161)*$D161</f>
        <v>#VALUE!</v>
      </c>
      <c r="I161" s="10" t="e">
        <f t="shared" ref="I161:I170" ca="1" si="77">+G161-H161</f>
        <v>#VALUE!</v>
      </c>
      <c r="J161" s="184" t="e">
        <f ca="1">_xll.DBRW($A$1,$C161,$B161,J$3,J$1,J$2,$A161)*$D161</f>
        <v>#VALUE!</v>
      </c>
      <c r="K161" s="10" t="e">
        <f ca="1">_xll.DBRW($A$1,$C161,$B161,K$3,K$1,K$2,$A161)*$D161</f>
        <v>#VALUE!</v>
      </c>
      <c r="L161" s="10" t="e">
        <f t="shared" ref="L161:L170" ca="1" si="78">+J161-K161</f>
        <v>#VALUE!</v>
      </c>
      <c r="M161" s="184" t="e">
        <f ca="1">_xll.DBRW($A$1,$C161,$B161,M$3,M$1,M$2,$A161)*$D161</f>
        <v>#VALUE!</v>
      </c>
      <c r="N161" s="10" t="e">
        <f ca="1">_xll.DBRW($A$1,$C161,$B161,N$3,N$1,N$2,$A161)*$D161</f>
        <v>#VALUE!</v>
      </c>
      <c r="O161" s="10" t="e">
        <f t="shared" ref="O161:O170" ca="1" si="79">+M161-N161</f>
        <v>#VALUE!</v>
      </c>
      <c r="P161" s="184" t="e">
        <f ca="1">_xll.DBRW($A$1,$C161,$B161,P$3,P$1,P$2,$A161)*$D161</f>
        <v>#VALUE!</v>
      </c>
      <c r="Q161" s="10" t="e">
        <f ca="1">_xll.DBRW($A$1,$C161,$B161,Q$3,Q$1,Q$2,$A161)*$D161</f>
        <v>#VALUE!</v>
      </c>
      <c r="R161" s="10" t="e">
        <f t="shared" ref="R161:R170" ca="1" si="80">+P161-Q161</f>
        <v>#VALUE!</v>
      </c>
      <c r="S161" s="184" t="e">
        <f ca="1">_xll.DBRW($A$1,$C161,$B161,S$3,S$1,S$2,$A161)*$D161</f>
        <v>#VALUE!</v>
      </c>
      <c r="T161" s="10" t="e">
        <f ca="1">_xll.DBRW($A$1,$C161,$B161,T$3,T$1,T$2,$A161)*$D161</f>
        <v>#VALUE!</v>
      </c>
      <c r="U161" s="10" t="e">
        <f t="shared" ref="U161:U170" ca="1" si="81">+S161-T161</f>
        <v>#VALUE!</v>
      </c>
      <c r="V161" s="184" t="e">
        <f ca="1">_xll.DBRW($A$1,$C161,$B161,V$3,V$1,V$2,$A161)*$D161</f>
        <v>#VALUE!</v>
      </c>
      <c r="W161" s="10" t="e">
        <f ca="1">_xll.DBRW($A$1,$C161,$B161,W$3,W$1,W$2,$A161)*$D161</f>
        <v>#VALUE!</v>
      </c>
      <c r="X161" s="10" t="e">
        <f t="shared" ref="X161:X170" ca="1" si="82">+V161-W161</f>
        <v>#VALUE!</v>
      </c>
      <c r="Y161" s="184" t="e">
        <f ca="1">_xll.DBRW($A$1,$C161,$B161,Y$3,Y$1,Y$2,$A161)*$D161</f>
        <v>#VALUE!</v>
      </c>
      <c r="Z161" s="10" t="e">
        <f ca="1">_xll.DBRW($A$1,$C161,$B161,Z$3,Z$1,Z$2,$A161)*$D161</f>
        <v>#VALUE!</v>
      </c>
      <c r="AA161" s="10" t="e">
        <f t="shared" ref="AA161:AA170" ca="1" si="83">+Y161-Z161</f>
        <v>#VALUE!</v>
      </c>
      <c r="AB161" s="184" t="e">
        <f ca="1">_xll.DBRW($A$1,$C161,$B161,AB$3,AB$1,AB$2,$A161)*$D161</f>
        <v>#VALUE!</v>
      </c>
      <c r="AC161" s="10" t="e">
        <f ca="1">_xll.DBRW($A$1,$C161,$B161,AC$3,AC$1,AC$2,$A161)*$D161</f>
        <v>#VALUE!</v>
      </c>
      <c r="AD161" s="10" t="e">
        <f t="shared" ref="AD161:AD170" ca="1" si="84">+AB161-AC161</f>
        <v>#VALUE!</v>
      </c>
      <c r="AE161" s="184" t="e">
        <f ca="1">_xll.DBRW($A$1,$C161,$B161,AE$3,AE$1,AE$2,$A161)*$D161</f>
        <v>#VALUE!</v>
      </c>
      <c r="AF161" s="10" t="e">
        <f ca="1">_xll.DBRW($A$1,$C161,$B161,AF$3,AF$1,AF$2,$A161)*$D161</f>
        <v>#VALUE!</v>
      </c>
      <c r="AG161" s="10" t="e">
        <f t="shared" ref="AG161:AG170" ca="1" si="85">+AE161-AF161</f>
        <v>#VALUE!</v>
      </c>
      <c r="AH161" s="184" t="e">
        <f ca="1">_xll.DBRW($A$1,$C161,$B161,AH$3,AH$1,AH$2,$A161)*$D161</f>
        <v>#VALUE!</v>
      </c>
      <c r="AI161" s="10" t="e">
        <f ca="1">_xll.DBRW($A$1,$C161,$B161,AI$3,AI$1,AI$2,$A161)*$D161</f>
        <v>#VALUE!</v>
      </c>
      <c r="AJ161" s="10" t="e">
        <f t="shared" ref="AJ161:AJ170" ca="1" si="86">+AH161-AI161</f>
        <v>#VALUE!</v>
      </c>
      <c r="AK161" s="184" t="e">
        <f ca="1">_xll.DBRW($A$1,$C161,$B161,AK$3,AK$1,AK$2,$A161)*$D161</f>
        <v>#VALUE!</v>
      </c>
      <c r="AL161" s="10" t="e">
        <f ca="1">_xll.DBRW($A$1,$C161,$B161,AL$3,AL$1,AL$2,$A161)*$D161</f>
        <v>#VALUE!</v>
      </c>
      <c r="AM161" s="10" t="e">
        <f t="shared" ref="AM161:AM170" ca="1" si="87">+AK161-AL161</f>
        <v>#VALUE!</v>
      </c>
    </row>
    <row r="162" spans="1:39" ht="15" customHeight="1">
      <c r="A162" s="170" t="s">
        <v>324</v>
      </c>
      <c r="B162" s="169" t="s">
        <v>334</v>
      </c>
      <c r="C162" s="168" t="s">
        <v>133</v>
      </c>
      <c r="D162" s="168">
        <v>1</v>
      </c>
      <c r="E162" s="167" t="str">
        <f ca="1">_xll.DBRA("mfc:skz",B162,"Group")</f>
        <v>EBIT</v>
      </c>
      <c r="F162" s="187" t="s">
        <v>186</v>
      </c>
      <c r="G162" s="184" t="e">
        <f ca="1">_xll.DBRW($A$1,$C162,$B162,G$3,G$1,G$2,$A162)*$D162</f>
        <v>#VALUE!</v>
      </c>
      <c r="H162" s="10" t="e">
        <f ca="1">_xll.DBRW($A$1,$C162,$B162,H$3,H$1,H$2,$A162)*$D162</f>
        <v>#VALUE!</v>
      </c>
      <c r="I162" s="10" t="e">
        <f t="shared" ca="1" si="77"/>
        <v>#VALUE!</v>
      </c>
      <c r="J162" s="184" t="e">
        <f ca="1">_xll.DBRW($A$1,$C162,$B162,J$3,J$1,J$2,$A162)*$D162</f>
        <v>#VALUE!</v>
      </c>
      <c r="K162" s="10" t="e">
        <f ca="1">_xll.DBRW($A$1,$C162,$B162,K$3,K$1,K$2,$A162)*$D162</f>
        <v>#VALUE!</v>
      </c>
      <c r="L162" s="10" t="e">
        <f t="shared" ca="1" si="78"/>
        <v>#VALUE!</v>
      </c>
      <c r="M162" s="184" t="e">
        <f ca="1">_xll.DBRW($A$1,$C162,$B162,M$3,M$1,M$2,$A162)*$D162</f>
        <v>#VALUE!</v>
      </c>
      <c r="N162" s="10" t="e">
        <f ca="1">_xll.DBRW($A$1,$C162,$B162,N$3,N$1,N$2,$A162)*$D162</f>
        <v>#VALUE!</v>
      </c>
      <c r="O162" s="10" t="e">
        <f t="shared" ca="1" si="79"/>
        <v>#VALUE!</v>
      </c>
      <c r="P162" s="184" t="e">
        <f ca="1">_xll.DBRW($A$1,$C162,$B162,P$3,P$1,P$2,$A162)*$D162</f>
        <v>#VALUE!</v>
      </c>
      <c r="Q162" s="10" t="e">
        <f ca="1">_xll.DBRW($A$1,$C162,$B162,Q$3,Q$1,Q$2,$A162)*$D162</f>
        <v>#VALUE!</v>
      </c>
      <c r="R162" s="10" t="e">
        <f t="shared" ca="1" si="80"/>
        <v>#VALUE!</v>
      </c>
      <c r="S162" s="184" t="e">
        <f ca="1">_xll.DBRW($A$1,$C162,$B162,S$3,S$1,S$2,$A162)*$D162</f>
        <v>#VALUE!</v>
      </c>
      <c r="T162" s="10" t="e">
        <f ca="1">_xll.DBRW($A$1,$C162,$B162,T$3,T$1,T$2,$A162)*$D162</f>
        <v>#VALUE!</v>
      </c>
      <c r="U162" s="10" t="e">
        <f t="shared" ca="1" si="81"/>
        <v>#VALUE!</v>
      </c>
      <c r="V162" s="184" t="e">
        <f ca="1">_xll.DBRW($A$1,$C162,$B162,V$3,V$1,V$2,$A162)*$D162</f>
        <v>#VALUE!</v>
      </c>
      <c r="W162" s="10" t="e">
        <f ca="1">_xll.DBRW($A$1,$C162,$B162,W$3,W$1,W$2,$A162)*$D162</f>
        <v>#VALUE!</v>
      </c>
      <c r="X162" s="10" t="e">
        <f t="shared" ca="1" si="82"/>
        <v>#VALUE!</v>
      </c>
      <c r="Y162" s="184" t="e">
        <f ca="1">_xll.DBRW($A$1,$C162,$B162,Y$3,Y$1,Y$2,$A162)*$D162</f>
        <v>#VALUE!</v>
      </c>
      <c r="Z162" s="10" t="e">
        <f ca="1">_xll.DBRW($A$1,$C162,$B162,Z$3,Z$1,Z$2,$A162)*$D162</f>
        <v>#VALUE!</v>
      </c>
      <c r="AA162" s="10" t="e">
        <f t="shared" ca="1" si="83"/>
        <v>#VALUE!</v>
      </c>
      <c r="AB162" s="184" t="e">
        <f ca="1">_xll.DBRW($A$1,$C162,$B162,AB$3,AB$1,AB$2,$A162)*$D162</f>
        <v>#VALUE!</v>
      </c>
      <c r="AC162" s="10" t="e">
        <f ca="1">_xll.DBRW($A$1,$C162,$B162,AC$3,AC$1,AC$2,$A162)*$D162</f>
        <v>#VALUE!</v>
      </c>
      <c r="AD162" s="10" t="e">
        <f t="shared" ca="1" si="84"/>
        <v>#VALUE!</v>
      </c>
      <c r="AE162" s="184" t="e">
        <f ca="1">_xll.DBRW($A$1,$C162,$B162,AE$3,AE$1,AE$2,$A162)*$D162</f>
        <v>#VALUE!</v>
      </c>
      <c r="AF162" s="10" t="e">
        <f ca="1">_xll.DBRW($A$1,$C162,$B162,AF$3,AF$1,AF$2,$A162)*$D162</f>
        <v>#VALUE!</v>
      </c>
      <c r="AG162" s="10" t="e">
        <f t="shared" ca="1" si="85"/>
        <v>#VALUE!</v>
      </c>
      <c r="AH162" s="184" t="e">
        <f ca="1">_xll.DBRW($A$1,$C162,$B162,AH$3,AH$1,AH$2,$A162)*$D162</f>
        <v>#VALUE!</v>
      </c>
      <c r="AI162" s="10" t="e">
        <f ca="1">_xll.DBRW($A$1,$C162,$B162,AI$3,AI$1,AI$2,$A162)*$D162</f>
        <v>#VALUE!</v>
      </c>
      <c r="AJ162" s="10" t="e">
        <f t="shared" ca="1" si="86"/>
        <v>#VALUE!</v>
      </c>
      <c r="AK162" s="184" t="e">
        <f ca="1">_xll.DBRW($A$1,$C162,$B162,AK$3,AK$1,AK$2,$A162)*$D162</f>
        <v>#VALUE!</v>
      </c>
      <c r="AL162" s="10" t="e">
        <f ca="1">_xll.DBRW($A$1,$C162,$B162,AL$3,AL$1,AL$2,$A162)*$D162</f>
        <v>#VALUE!</v>
      </c>
      <c r="AM162" s="10" t="e">
        <f t="shared" ca="1" si="87"/>
        <v>#VALUE!</v>
      </c>
    </row>
    <row r="163" spans="1:39" ht="15" customHeight="1">
      <c r="A163" s="170" t="s">
        <v>323</v>
      </c>
      <c r="B163" s="169" t="s">
        <v>334</v>
      </c>
      <c r="C163" s="168" t="s">
        <v>133</v>
      </c>
      <c r="D163" s="168">
        <v>1</v>
      </c>
      <c r="E163" s="167" t="str">
        <f ca="1">_xll.DBRA("mfc:skz",B163,"Group")</f>
        <v>EBIT</v>
      </c>
      <c r="F163" s="186" t="s">
        <v>213</v>
      </c>
      <c r="G163" s="184" t="e">
        <f ca="1">_xll.DBRW($A$1,$C163,$B163,G$3,G$1,G$2,$A163)*$D163</f>
        <v>#VALUE!</v>
      </c>
      <c r="H163" s="10" t="e">
        <f ca="1">_xll.DBRW($A$1,$C163,$B163,H$3,H$1,H$2,$A163)*$D163</f>
        <v>#VALUE!</v>
      </c>
      <c r="I163" s="10" t="e">
        <f t="shared" ca="1" si="77"/>
        <v>#VALUE!</v>
      </c>
      <c r="J163" s="184" t="e">
        <f ca="1">_xll.DBRW($A$1,$C163,$B163,J$3,J$1,J$2,$A163)*$D163</f>
        <v>#VALUE!</v>
      </c>
      <c r="K163" s="10" t="e">
        <f ca="1">_xll.DBRW($A$1,$C163,$B163,K$3,K$1,K$2,$A163)*$D163</f>
        <v>#VALUE!</v>
      </c>
      <c r="L163" s="10" t="e">
        <f t="shared" ca="1" si="78"/>
        <v>#VALUE!</v>
      </c>
      <c r="M163" s="184" t="e">
        <f ca="1">_xll.DBRW($A$1,$C163,$B163,M$3,M$1,M$2,$A163)*$D163</f>
        <v>#VALUE!</v>
      </c>
      <c r="N163" s="10" t="e">
        <f ca="1">_xll.DBRW($A$1,$C163,$B163,N$3,N$1,N$2,$A163)*$D163</f>
        <v>#VALUE!</v>
      </c>
      <c r="O163" s="10" t="e">
        <f t="shared" ca="1" si="79"/>
        <v>#VALUE!</v>
      </c>
      <c r="P163" s="184" t="e">
        <f ca="1">_xll.DBRW($A$1,$C163,$B163,P$3,P$1,P$2,$A163)*$D163</f>
        <v>#VALUE!</v>
      </c>
      <c r="Q163" s="10" t="e">
        <f ca="1">_xll.DBRW($A$1,$C163,$B163,Q$3,Q$1,Q$2,$A163)*$D163</f>
        <v>#VALUE!</v>
      </c>
      <c r="R163" s="10" t="e">
        <f t="shared" ca="1" si="80"/>
        <v>#VALUE!</v>
      </c>
      <c r="S163" s="184" t="e">
        <f ca="1">_xll.DBRW($A$1,$C163,$B163,S$3,S$1,S$2,$A163)*$D163</f>
        <v>#VALUE!</v>
      </c>
      <c r="T163" s="10" t="e">
        <f ca="1">_xll.DBRW($A$1,$C163,$B163,T$3,T$1,T$2,$A163)*$D163</f>
        <v>#VALUE!</v>
      </c>
      <c r="U163" s="10" t="e">
        <f t="shared" ca="1" si="81"/>
        <v>#VALUE!</v>
      </c>
      <c r="V163" s="184" t="e">
        <f ca="1">_xll.DBRW($A$1,$C163,$B163,V$3,V$1,V$2,$A163)*$D163</f>
        <v>#VALUE!</v>
      </c>
      <c r="W163" s="10" t="e">
        <f ca="1">_xll.DBRW($A$1,$C163,$B163,W$3,W$1,W$2,$A163)*$D163</f>
        <v>#VALUE!</v>
      </c>
      <c r="X163" s="10" t="e">
        <f t="shared" ca="1" si="82"/>
        <v>#VALUE!</v>
      </c>
      <c r="Y163" s="184" t="e">
        <f ca="1">_xll.DBRW($A$1,$C163,$B163,Y$3,Y$1,Y$2,$A163)*$D163</f>
        <v>#VALUE!</v>
      </c>
      <c r="Z163" s="10" t="e">
        <f ca="1">_xll.DBRW($A$1,$C163,$B163,Z$3,Z$1,Z$2,$A163)*$D163</f>
        <v>#VALUE!</v>
      </c>
      <c r="AA163" s="10" t="e">
        <f t="shared" ca="1" si="83"/>
        <v>#VALUE!</v>
      </c>
      <c r="AB163" s="184" t="e">
        <f ca="1">_xll.DBRW($A$1,$C163,$B163,AB$3,AB$1,AB$2,$A163)*$D163</f>
        <v>#VALUE!</v>
      </c>
      <c r="AC163" s="10" t="e">
        <f ca="1">_xll.DBRW($A$1,$C163,$B163,AC$3,AC$1,AC$2,$A163)*$D163</f>
        <v>#VALUE!</v>
      </c>
      <c r="AD163" s="10" t="e">
        <f t="shared" ca="1" si="84"/>
        <v>#VALUE!</v>
      </c>
      <c r="AE163" s="184" t="e">
        <f ca="1">_xll.DBRW($A$1,$C163,$B163,AE$3,AE$1,AE$2,$A163)*$D163</f>
        <v>#VALUE!</v>
      </c>
      <c r="AF163" s="10" t="e">
        <f ca="1">_xll.DBRW($A$1,$C163,$B163,AF$3,AF$1,AF$2,$A163)*$D163</f>
        <v>#VALUE!</v>
      </c>
      <c r="AG163" s="10" t="e">
        <f t="shared" ca="1" si="85"/>
        <v>#VALUE!</v>
      </c>
      <c r="AH163" s="184" t="e">
        <f ca="1">_xll.DBRW($A$1,$C163,$B163,AH$3,AH$1,AH$2,$A163)*$D163</f>
        <v>#VALUE!</v>
      </c>
      <c r="AI163" s="10" t="e">
        <f ca="1">_xll.DBRW($A$1,$C163,$B163,AI$3,AI$1,AI$2,$A163)*$D163</f>
        <v>#VALUE!</v>
      </c>
      <c r="AJ163" s="10" t="e">
        <f t="shared" ca="1" si="86"/>
        <v>#VALUE!</v>
      </c>
      <c r="AK163" s="184" t="e">
        <f ca="1">_xll.DBRW($A$1,$C163,$B163,AK$3,AK$1,AK$2,$A163)*$D163</f>
        <v>#VALUE!</v>
      </c>
      <c r="AL163" s="10" t="e">
        <f ca="1">_xll.DBRW($A$1,$C163,$B163,AL$3,AL$1,AL$2,$A163)*$D163</f>
        <v>#VALUE!</v>
      </c>
      <c r="AM163" s="10" t="e">
        <f t="shared" ca="1" si="87"/>
        <v>#VALUE!</v>
      </c>
    </row>
    <row r="164" spans="1:39" ht="15" customHeight="1">
      <c r="A164" s="170" t="s">
        <v>322</v>
      </c>
      <c r="B164" s="169" t="s">
        <v>334</v>
      </c>
      <c r="C164" s="168" t="s">
        <v>133</v>
      </c>
      <c r="D164" s="168">
        <v>1</v>
      </c>
      <c r="E164" s="167" t="str">
        <f ca="1">_xll.DBRA("mfc:skz",B164,"Group")</f>
        <v>EBIT</v>
      </c>
      <c r="F164" s="185" t="s">
        <v>214</v>
      </c>
      <c r="G164" s="184" t="e">
        <f ca="1">_xll.DBRW($A$1,$C164,$B164,G$3,G$1,G$2,$A164)*$D164</f>
        <v>#VALUE!</v>
      </c>
      <c r="H164" s="10" t="e">
        <f ca="1">_xll.DBRW($A$1,$C164,$B164,H$3,H$1,H$2,$A164)*$D164</f>
        <v>#VALUE!</v>
      </c>
      <c r="I164" s="10" t="e">
        <f t="shared" ca="1" si="77"/>
        <v>#VALUE!</v>
      </c>
      <c r="J164" s="184" t="e">
        <f ca="1">_xll.DBRW($A$1,$C164,$B164,J$3,J$1,J$2,$A164)*$D164</f>
        <v>#VALUE!</v>
      </c>
      <c r="K164" s="10" t="e">
        <f ca="1">_xll.DBRW($A$1,$C164,$B164,K$3,K$1,K$2,$A164)*$D164</f>
        <v>#VALUE!</v>
      </c>
      <c r="L164" s="10" t="e">
        <f t="shared" ca="1" si="78"/>
        <v>#VALUE!</v>
      </c>
      <c r="M164" s="184" t="e">
        <f ca="1">_xll.DBRW($A$1,$C164,$B164,M$3,M$1,M$2,$A164)*$D164</f>
        <v>#VALUE!</v>
      </c>
      <c r="N164" s="10" t="e">
        <f ca="1">_xll.DBRW($A$1,$C164,$B164,N$3,N$1,N$2,$A164)*$D164</f>
        <v>#VALUE!</v>
      </c>
      <c r="O164" s="10" t="e">
        <f t="shared" ca="1" si="79"/>
        <v>#VALUE!</v>
      </c>
      <c r="P164" s="184" t="e">
        <f ca="1">_xll.DBRW($A$1,$C164,$B164,P$3,P$1,P$2,$A164)*$D164</f>
        <v>#VALUE!</v>
      </c>
      <c r="Q164" s="10" t="e">
        <f ca="1">_xll.DBRW($A$1,$C164,$B164,Q$3,Q$1,Q$2,$A164)*$D164</f>
        <v>#VALUE!</v>
      </c>
      <c r="R164" s="10" t="e">
        <f t="shared" ca="1" si="80"/>
        <v>#VALUE!</v>
      </c>
      <c r="S164" s="184" t="e">
        <f ca="1">_xll.DBRW($A$1,$C164,$B164,S$3,S$1,S$2,$A164)*$D164</f>
        <v>#VALUE!</v>
      </c>
      <c r="T164" s="10" t="e">
        <f ca="1">_xll.DBRW($A$1,$C164,$B164,T$3,T$1,T$2,$A164)*$D164</f>
        <v>#VALUE!</v>
      </c>
      <c r="U164" s="10" t="e">
        <f t="shared" ca="1" si="81"/>
        <v>#VALUE!</v>
      </c>
      <c r="V164" s="184" t="e">
        <f ca="1">_xll.DBRW($A$1,$C164,$B164,V$3,V$1,V$2,$A164)*$D164</f>
        <v>#VALUE!</v>
      </c>
      <c r="W164" s="10" t="e">
        <f ca="1">_xll.DBRW($A$1,$C164,$B164,W$3,W$1,W$2,$A164)*$D164</f>
        <v>#VALUE!</v>
      </c>
      <c r="X164" s="10" t="e">
        <f t="shared" ca="1" si="82"/>
        <v>#VALUE!</v>
      </c>
      <c r="Y164" s="184" t="e">
        <f ca="1">_xll.DBRW($A$1,$C164,$B164,Y$3,Y$1,Y$2,$A164)*$D164</f>
        <v>#VALUE!</v>
      </c>
      <c r="Z164" s="10" t="e">
        <f ca="1">_xll.DBRW($A$1,$C164,$B164,Z$3,Z$1,Z$2,$A164)*$D164</f>
        <v>#VALUE!</v>
      </c>
      <c r="AA164" s="10" t="e">
        <f t="shared" ca="1" si="83"/>
        <v>#VALUE!</v>
      </c>
      <c r="AB164" s="184" t="e">
        <f ca="1">_xll.DBRW($A$1,$C164,$B164,AB$3,AB$1,AB$2,$A164)*$D164</f>
        <v>#VALUE!</v>
      </c>
      <c r="AC164" s="10" t="e">
        <f ca="1">_xll.DBRW($A$1,$C164,$B164,AC$3,AC$1,AC$2,$A164)*$D164</f>
        <v>#VALUE!</v>
      </c>
      <c r="AD164" s="10" t="e">
        <f t="shared" ca="1" si="84"/>
        <v>#VALUE!</v>
      </c>
      <c r="AE164" s="184" t="e">
        <f ca="1">_xll.DBRW($A$1,$C164,$B164,AE$3,AE$1,AE$2,$A164)*$D164</f>
        <v>#VALUE!</v>
      </c>
      <c r="AF164" s="10" t="e">
        <f ca="1">_xll.DBRW($A$1,$C164,$B164,AF$3,AF$1,AF$2,$A164)*$D164</f>
        <v>#VALUE!</v>
      </c>
      <c r="AG164" s="10" t="e">
        <f t="shared" ca="1" si="85"/>
        <v>#VALUE!</v>
      </c>
      <c r="AH164" s="184" t="e">
        <f ca="1">_xll.DBRW($A$1,$C164,$B164,AH$3,AH$1,AH$2,$A164)*$D164</f>
        <v>#VALUE!</v>
      </c>
      <c r="AI164" s="10" t="e">
        <f ca="1">_xll.DBRW($A$1,$C164,$B164,AI$3,AI$1,AI$2,$A164)*$D164</f>
        <v>#VALUE!</v>
      </c>
      <c r="AJ164" s="10" t="e">
        <f t="shared" ca="1" si="86"/>
        <v>#VALUE!</v>
      </c>
      <c r="AK164" s="184" t="e">
        <f ca="1">_xll.DBRW($A$1,$C164,$B164,AK$3,AK$1,AK$2,$A164)*$D164</f>
        <v>#VALUE!</v>
      </c>
      <c r="AL164" s="10" t="e">
        <f ca="1">_xll.DBRW($A$1,$C164,$B164,AL$3,AL$1,AL$2,$A164)*$D164</f>
        <v>#VALUE!</v>
      </c>
      <c r="AM164" s="10" t="e">
        <f t="shared" ca="1" si="87"/>
        <v>#VALUE!</v>
      </c>
    </row>
    <row r="165" spans="1:39" ht="15" customHeight="1">
      <c r="A165" s="170" t="s">
        <v>321</v>
      </c>
      <c r="B165" s="169" t="s">
        <v>334</v>
      </c>
      <c r="C165" s="168" t="s">
        <v>133</v>
      </c>
      <c r="D165" s="168">
        <v>1</v>
      </c>
      <c r="E165" s="167" t="str">
        <f ca="1">_xll.DBRA("mfc:skz",B165,"Group")</f>
        <v>EBIT</v>
      </c>
      <c r="F165" s="63" t="s">
        <v>3</v>
      </c>
      <c r="G165" s="180" t="e">
        <f ca="1">_xll.DBRW($A$1,$C165,$B165,G$3,G$1,G$2,$A165)*$D165</f>
        <v>#VALUE!</v>
      </c>
      <c r="H165" s="67" t="e">
        <f ca="1">_xll.DBRW($A$1,$C165,$B165,H$3,H$1,H$2,$A165)*$D165</f>
        <v>#VALUE!</v>
      </c>
      <c r="I165" s="67" t="e">
        <f t="shared" ca="1" si="77"/>
        <v>#VALUE!</v>
      </c>
      <c r="J165" s="180" t="e">
        <f ca="1">_xll.DBRW($A$1,$C165,$B165,J$3,J$1,J$2,$A165)*$D165</f>
        <v>#VALUE!</v>
      </c>
      <c r="K165" s="67" t="e">
        <f ca="1">_xll.DBRW($A$1,$C165,$B165,K$3,K$1,K$2,$A165)*$D165</f>
        <v>#VALUE!</v>
      </c>
      <c r="L165" s="67" t="e">
        <f t="shared" ca="1" si="78"/>
        <v>#VALUE!</v>
      </c>
      <c r="M165" s="180" t="e">
        <f ca="1">_xll.DBRW($A$1,$C165,$B165,M$3,M$1,M$2,$A165)*$D165</f>
        <v>#VALUE!</v>
      </c>
      <c r="N165" s="67" t="e">
        <f ca="1">_xll.DBRW($A$1,$C165,$B165,N$3,N$1,N$2,$A165)*$D165</f>
        <v>#VALUE!</v>
      </c>
      <c r="O165" s="67" t="e">
        <f t="shared" ca="1" si="79"/>
        <v>#VALUE!</v>
      </c>
      <c r="P165" s="180" t="e">
        <f ca="1">_xll.DBRW($A$1,$C165,$B165,P$3,P$1,P$2,$A165)*$D165</f>
        <v>#VALUE!</v>
      </c>
      <c r="Q165" s="67" t="e">
        <f ca="1">_xll.DBRW($A$1,$C165,$B165,Q$3,Q$1,Q$2,$A165)*$D165</f>
        <v>#VALUE!</v>
      </c>
      <c r="R165" s="67" t="e">
        <f t="shared" ca="1" si="80"/>
        <v>#VALUE!</v>
      </c>
      <c r="S165" s="180" t="e">
        <f ca="1">_xll.DBRW($A$1,$C165,$B165,S$3,S$1,S$2,$A165)*$D165</f>
        <v>#VALUE!</v>
      </c>
      <c r="T165" s="67" t="e">
        <f ca="1">_xll.DBRW($A$1,$C165,$B165,T$3,T$1,T$2,$A165)*$D165</f>
        <v>#VALUE!</v>
      </c>
      <c r="U165" s="67" t="e">
        <f t="shared" ca="1" si="81"/>
        <v>#VALUE!</v>
      </c>
      <c r="V165" s="180" t="e">
        <f ca="1">_xll.DBRW($A$1,$C165,$B165,V$3,V$1,V$2,$A165)*$D165</f>
        <v>#VALUE!</v>
      </c>
      <c r="W165" s="67" t="e">
        <f ca="1">_xll.DBRW($A$1,$C165,$B165,W$3,W$1,W$2,$A165)*$D165</f>
        <v>#VALUE!</v>
      </c>
      <c r="X165" s="67" t="e">
        <f t="shared" ca="1" si="82"/>
        <v>#VALUE!</v>
      </c>
      <c r="Y165" s="180" t="e">
        <f ca="1">_xll.DBRW($A$1,$C165,$B165,Y$3,Y$1,Y$2,$A165)*$D165</f>
        <v>#VALUE!</v>
      </c>
      <c r="Z165" s="67" t="e">
        <f ca="1">_xll.DBRW($A$1,$C165,$B165,Z$3,Z$1,Z$2,$A165)*$D165</f>
        <v>#VALUE!</v>
      </c>
      <c r="AA165" s="67" t="e">
        <f t="shared" ca="1" si="83"/>
        <v>#VALUE!</v>
      </c>
      <c r="AB165" s="180" t="e">
        <f ca="1">_xll.DBRW($A$1,$C165,$B165,AB$3,AB$1,AB$2,$A165)*$D165</f>
        <v>#VALUE!</v>
      </c>
      <c r="AC165" s="67" t="e">
        <f ca="1">_xll.DBRW($A$1,$C165,$B165,AC$3,AC$1,AC$2,$A165)*$D165</f>
        <v>#VALUE!</v>
      </c>
      <c r="AD165" s="67" t="e">
        <f t="shared" ca="1" si="84"/>
        <v>#VALUE!</v>
      </c>
      <c r="AE165" s="180" t="e">
        <f ca="1">_xll.DBRW($A$1,$C165,$B165,AE$3,AE$1,AE$2,$A165)*$D165</f>
        <v>#VALUE!</v>
      </c>
      <c r="AF165" s="67" t="e">
        <f ca="1">_xll.DBRW($A$1,$C165,$B165,AF$3,AF$1,AF$2,$A165)*$D165</f>
        <v>#VALUE!</v>
      </c>
      <c r="AG165" s="67" t="e">
        <f t="shared" ca="1" si="85"/>
        <v>#VALUE!</v>
      </c>
      <c r="AH165" s="180" t="e">
        <f ca="1">_xll.DBRW($A$1,$C165,$B165,AH$3,AH$1,AH$2,$A165)*$D165</f>
        <v>#VALUE!</v>
      </c>
      <c r="AI165" s="67" t="e">
        <f ca="1">_xll.DBRW($A$1,$C165,$B165,AI$3,AI$1,AI$2,$A165)*$D165</f>
        <v>#VALUE!</v>
      </c>
      <c r="AJ165" s="67" t="e">
        <f t="shared" ca="1" si="86"/>
        <v>#VALUE!</v>
      </c>
      <c r="AK165" s="180" t="e">
        <f ca="1">_xll.DBRW($A$1,$C165,$B165,AK$3,AK$1,AK$2,$A165)*$D165</f>
        <v>#VALUE!</v>
      </c>
      <c r="AL165" s="67" t="e">
        <f ca="1">_xll.DBRW($A$1,$C165,$B165,AL$3,AL$1,AL$2,$A165)*$D165</f>
        <v>#VALUE!</v>
      </c>
      <c r="AM165" s="67" t="e">
        <f t="shared" ca="1" si="87"/>
        <v>#VALUE!</v>
      </c>
    </row>
    <row r="166" spans="1:39">
      <c r="A166" s="170" t="s">
        <v>319</v>
      </c>
      <c r="B166" s="169" t="s">
        <v>335</v>
      </c>
      <c r="C166" s="168" t="s">
        <v>133</v>
      </c>
      <c r="D166" s="168">
        <v>1</v>
      </c>
      <c r="E166" s="167" t="str">
        <f ca="1">_xll.DBRA("mfc:skz",B166,"Group")</f>
        <v>EBIT segment total</v>
      </c>
      <c r="F166" s="183" t="s">
        <v>42</v>
      </c>
      <c r="G166" s="182" t="e">
        <f ca="1">_xll.DBRW($A$1,$C166,$B166,G$3,G$1,G$2,$A166)*$D166</f>
        <v>#VALUE!</v>
      </c>
      <c r="H166" s="66" t="e">
        <f ca="1">_xll.DBRW($A$1,$C166,$B166,H$3,H$1,H$2,$A166)*$D166</f>
        <v>#VALUE!</v>
      </c>
      <c r="I166" s="66" t="e">
        <f t="shared" ca="1" si="77"/>
        <v>#VALUE!</v>
      </c>
      <c r="J166" s="182" t="e">
        <f ca="1">_xll.DBRW($A$1,$C166,$B166,J$3,J$1,J$2,$A166)*$D166</f>
        <v>#VALUE!</v>
      </c>
      <c r="K166" s="66" t="e">
        <f ca="1">_xll.DBRW($A$1,$C166,$B166,K$3,K$1,K$2,$A166)*$D166</f>
        <v>#VALUE!</v>
      </c>
      <c r="L166" s="66" t="e">
        <f t="shared" ca="1" si="78"/>
        <v>#VALUE!</v>
      </c>
      <c r="M166" s="182" t="e">
        <f ca="1">_xll.DBRW($A$1,$C166,$B166,M$3,M$1,M$2,$A166)*$D166</f>
        <v>#VALUE!</v>
      </c>
      <c r="N166" s="66" t="e">
        <f ca="1">_xll.DBRW($A$1,$C166,$B166,N$3,N$1,N$2,$A166)*$D166</f>
        <v>#VALUE!</v>
      </c>
      <c r="O166" s="66" t="e">
        <f t="shared" ca="1" si="79"/>
        <v>#VALUE!</v>
      </c>
      <c r="P166" s="182" t="e">
        <f ca="1">_xll.DBRW($A$1,$C166,$B166,P$3,P$1,P$2,$A166)*$D166</f>
        <v>#VALUE!</v>
      </c>
      <c r="Q166" s="66" t="e">
        <f ca="1">_xll.DBRW($A$1,$C166,$B166,Q$3,Q$1,Q$2,$A166)*$D166</f>
        <v>#VALUE!</v>
      </c>
      <c r="R166" s="66" t="e">
        <f t="shared" ca="1" si="80"/>
        <v>#VALUE!</v>
      </c>
      <c r="S166" s="182" t="e">
        <f ca="1">_xll.DBRW($A$1,$C166,$B166,S$3,S$1,S$2,$A166)*$D166</f>
        <v>#VALUE!</v>
      </c>
      <c r="T166" s="66" t="e">
        <f ca="1">_xll.DBRW($A$1,$C166,$B166,T$3,T$1,T$2,$A166)*$D166</f>
        <v>#VALUE!</v>
      </c>
      <c r="U166" s="66" t="e">
        <f t="shared" ca="1" si="81"/>
        <v>#VALUE!</v>
      </c>
      <c r="V166" s="182" t="e">
        <f ca="1">_xll.DBRW($A$1,$C166,$B166,V$3,V$1,V$2,$A166)*$D166</f>
        <v>#VALUE!</v>
      </c>
      <c r="W166" s="66" t="e">
        <f ca="1">_xll.DBRW($A$1,$C166,$B166,W$3,W$1,W$2,$A166)*$D166</f>
        <v>#VALUE!</v>
      </c>
      <c r="X166" s="66" t="e">
        <f t="shared" ca="1" si="82"/>
        <v>#VALUE!</v>
      </c>
      <c r="Y166" s="182" t="e">
        <f ca="1">_xll.DBRW($A$1,$C166,$B166,Y$3,Y$1,Y$2,$A166)*$D166</f>
        <v>#VALUE!</v>
      </c>
      <c r="Z166" s="66" t="e">
        <f ca="1">_xll.DBRW($A$1,$C166,$B166,Z$3,Z$1,Z$2,$A166)*$D166</f>
        <v>#VALUE!</v>
      </c>
      <c r="AA166" s="66" t="e">
        <f t="shared" ca="1" si="83"/>
        <v>#VALUE!</v>
      </c>
      <c r="AB166" s="182" t="e">
        <f ca="1">_xll.DBRW($A$1,$C166,$B166,AB$3,AB$1,AB$2,$A166)*$D166</f>
        <v>#VALUE!</v>
      </c>
      <c r="AC166" s="66" t="e">
        <f ca="1">_xll.DBRW($A$1,$C166,$B166,AC$3,AC$1,AC$2,$A166)*$D166</f>
        <v>#VALUE!</v>
      </c>
      <c r="AD166" s="66" t="e">
        <f t="shared" ca="1" si="84"/>
        <v>#VALUE!</v>
      </c>
      <c r="AE166" s="182" t="e">
        <f ca="1">_xll.DBRW($A$1,$C166,$B166,AE$3,AE$1,AE$2,$A166)*$D166</f>
        <v>#VALUE!</v>
      </c>
      <c r="AF166" s="66" t="e">
        <f ca="1">_xll.DBRW($A$1,$C166,$B166,AF$3,AF$1,AF$2,$A166)*$D166</f>
        <v>#VALUE!</v>
      </c>
      <c r="AG166" s="66" t="e">
        <f t="shared" ca="1" si="85"/>
        <v>#VALUE!</v>
      </c>
      <c r="AH166" s="182" t="e">
        <f ca="1">_xll.DBRW($A$1,$C166,$B166,AH$3,AH$1,AH$2,$A166)*$D166</f>
        <v>#VALUE!</v>
      </c>
      <c r="AI166" s="66" t="e">
        <f ca="1">_xll.DBRW($A$1,$C166,$B166,AI$3,AI$1,AI$2,$A166)*$D166</f>
        <v>#VALUE!</v>
      </c>
      <c r="AJ166" s="66" t="e">
        <f t="shared" ca="1" si="86"/>
        <v>#VALUE!</v>
      </c>
      <c r="AK166" s="182" t="e">
        <f ca="1">_xll.DBRW($A$1,$C166,$B166,AK$3,AK$1,AK$2,$A166)*$D166</f>
        <v>#VALUE!</v>
      </c>
      <c r="AL166" s="66" t="e">
        <f ca="1">_xll.DBRW($A$1,$C166,$B166,AL$3,AL$1,AL$2,$A166)*$D166</f>
        <v>#VALUE!</v>
      </c>
      <c r="AM166" s="66" t="e">
        <f t="shared" ca="1" si="87"/>
        <v>#VALUE!</v>
      </c>
    </row>
    <row r="167" spans="1:39" ht="15" customHeight="1">
      <c r="A167" s="170" t="s">
        <v>320</v>
      </c>
      <c r="B167" s="169" t="s">
        <v>334</v>
      </c>
      <c r="C167" s="168" t="s">
        <v>133</v>
      </c>
      <c r="D167" s="168">
        <v>1</v>
      </c>
      <c r="E167" s="167" t="str">
        <f ca="1">_xll.DBRA("mfc:skz",B167,"Group")</f>
        <v>EBIT</v>
      </c>
      <c r="F167" s="94" t="s">
        <v>43</v>
      </c>
      <c r="G167" s="180" t="e">
        <f ca="1">_xll.DBRW($A$1,$C167,$B167,G$3,G$1,G$2,$A167)*$D167</f>
        <v>#VALUE!</v>
      </c>
      <c r="H167" s="67" t="e">
        <f ca="1">_xll.DBRW($A$1,$C167,$B167,H$3,H$1,H$2,$A167)*$D167</f>
        <v>#VALUE!</v>
      </c>
      <c r="I167" s="67" t="e">
        <f t="shared" ca="1" si="77"/>
        <v>#VALUE!</v>
      </c>
      <c r="J167" s="180" t="e">
        <f ca="1">_xll.DBRW($A$1,$C167,$B167,J$3,J$1,J$2,$A167)*$D167</f>
        <v>#VALUE!</v>
      </c>
      <c r="K167" s="67" t="e">
        <f ca="1">_xll.DBRW($A$1,$C167,$B167,K$3,K$1,K$2,$A167)*$D167</f>
        <v>#VALUE!</v>
      </c>
      <c r="L167" s="67" t="e">
        <f t="shared" ca="1" si="78"/>
        <v>#VALUE!</v>
      </c>
      <c r="M167" s="180" t="e">
        <f ca="1">_xll.DBRW($A$1,$C167,$B167,M$3,M$1,M$2,$A167)*$D167</f>
        <v>#VALUE!</v>
      </c>
      <c r="N167" s="67" t="e">
        <f ca="1">_xll.DBRW($A$1,$C167,$B167,N$3,N$1,N$2,$A167)*$D167</f>
        <v>#VALUE!</v>
      </c>
      <c r="O167" s="67" t="e">
        <f t="shared" ca="1" si="79"/>
        <v>#VALUE!</v>
      </c>
      <c r="P167" s="180" t="e">
        <f ca="1">_xll.DBRW($A$1,$C167,$B167,P$3,P$1,P$2,$A167)*$D167</f>
        <v>#VALUE!</v>
      </c>
      <c r="Q167" s="67" t="e">
        <f ca="1">_xll.DBRW($A$1,$C167,$B167,Q$3,Q$1,Q$2,$A167)*$D167</f>
        <v>#VALUE!</v>
      </c>
      <c r="R167" s="67" t="e">
        <f t="shared" ca="1" si="80"/>
        <v>#VALUE!</v>
      </c>
      <c r="S167" s="180" t="e">
        <f ca="1">_xll.DBRW($A$1,$C167,$B167,S$3,S$1,S$2,$A167)*$D167</f>
        <v>#VALUE!</v>
      </c>
      <c r="T167" s="67" t="e">
        <f ca="1">_xll.DBRW($A$1,$C167,$B167,T$3,T$1,T$2,$A167)*$D167</f>
        <v>#VALUE!</v>
      </c>
      <c r="U167" s="67" t="e">
        <f t="shared" ca="1" si="81"/>
        <v>#VALUE!</v>
      </c>
      <c r="V167" s="180" t="e">
        <f ca="1">_xll.DBRW($A$1,$C167,$B167,V$3,V$1,V$2,$A167)*$D167</f>
        <v>#VALUE!</v>
      </c>
      <c r="W167" s="67" t="e">
        <f ca="1">_xll.DBRW($A$1,$C167,$B167,W$3,W$1,W$2,$A167)*$D167</f>
        <v>#VALUE!</v>
      </c>
      <c r="X167" s="67" t="e">
        <f t="shared" ca="1" si="82"/>
        <v>#VALUE!</v>
      </c>
      <c r="Y167" s="180" t="e">
        <f ca="1">_xll.DBRW($A$1,$C167,$B167,Y$3,Y$1,Y$2,$A167)*$D167</f>
        <v>#VALUE!</v>
      </c>
      <c r="Z167" s="67" t="e">
        <f ca="1">_xll.DBRW($A$1,$C167,$B167,Z$3,Z$1,Z$2,$A167)*$D167</f>
        <v>#VALUE!</v>
      </c>
      <c r="AA167" s="67" t="e">
        <f t="shared" ca="1" si="83"/>
        <v>#VALUE!</v>
      </c>
      <c r="AB167" s="180" t="e">
        <f ca="1">_xll.DBRW($A$1,$C167,$B167,AB$3,AB$1,AB$2,$A167)*$D167</f>
        <v>#VALUE!</v>
      </c>
      <c r="AC167" s="67" t="e">
        <f ca="1">_xll.DBRW($A$1,$C167,$B167,AC$3,AC$1,AC$2,$A167)*$D167</f>
        <v>#VALUE!</v>
      </c>
      <c r="AD167" s="67" t="e">
        <f t="shared" ca="1" si="84"/>
        <v>#VALUE!</v>
      </c>
      <c r="AE167" s="180" t="e">
        <f ca="1">_xll.DBRW($A$1,$C167,$B167,AE$3,AE$1,AE$2,$A167)*$D167</f>
        <v>#VALUE!</v>
      </c>
      <c r="AF167" s="67" t="e">
        <f ca="1">_xll.DBRW($A$1,$C167,$B167,AF$3,AF$1,AF$2,$A167)*$D167</f>
        <v>#VALUE!</v>
      </c>
      <c r="AG167" s="67" t="e">
        <f t="shared" ca="1" si="85"/>
        <v>#VALUE!</v>
      </c>
      <c r="AH167" s="180" t="e">
        <f ca="1">_xll.DBRW($A$1,$C167,$B167,AH$3,AH$1,AH$2,$A167)*$D167</f>
        <v>#VALUE!</v>
      </c>
      <c r="AI167" s="67" t="e">
        <f ca="1">_xll.DBRW($A$1,$C167,$B167,AI$3,AI$1,AI$2,$A167)*$D167</f>
        <v>#VALUE!</v>
      </c>
      <c r="AJ167" s="67" t="e">
        <f t="shared" ca="1" si="86"/>
        <v>#VALUE!</v>
      </c>
      <c r="AK167" s="180" t="e">
        <f ca="1">_xll.DBRW($A$1,$C167,$B167,AK$3,AK$1,AK$2,$A167)*$D167</f>
        <v>#VALUE!</v>
      </c>
      <c r="AL167" s="67" t="e">
        <f ca="1">_xll.DBRW($A$1,$C167,$B167,AL$3,AL$1,AL$2,$A167)*$D167</f>
        <v>#VALUE!</v>
      </c>
      <c r="AM167" s="67" t="e">
        <f t="shared" ca="1" si="87"/>
        <v>#VALUE!</v>
      </c>
    </row>
    <row r="168" spans="1:39" ht="15" customHeight="1">
      <c r="A168" s="170" t="s">
        <v>319</v>
      </c>
      <c r="B168" s="169" t="s">
        <v>334</v>
      </c>
      <c r="C168" s="168" t="s">
        <v>133</v>
      </c>
      <c r="D168" s="168">
        <v>1</v>
      </c>
      <c r="E168" s="167" t="str">
        <f ca="1">_xll.DBRA("mfc:skz",B168,"Group")</f>
        <v>EBIT</v>
      </c>
      <c r="F168" s="181" t="s">
        <v>44</v>
      </c>
      <c r="G168" s="180" t="e">
        <f ca="1">_xll.DBRW($A$1,$C168,$B168,G$3,G$1,G$2,$A168)*$D168</f>
        <v>#VALUE!</v>
      </c>
      <c r="H168" s="66" t="e">
        <f ca="1">_xll.DBRW($A$1,$C168,$B168,H$3,H$1,H$2,$A168)*$D168</f>
        <v>#VALUE!</v>
      </c>
      <c r="I168" s="66" t="e">
        <f t="shared" ca="1" si="77"/>
        <v>#VALUE!</v>
      </c>
      <c r="J168" s="180" t="e">
        <f ca="1">_xll.DBRW($A$1,$C168,$B168,J$3,J$1,J$2,$A168)*$D168</f>
        <v>#VALUE!</v>
      </c>
      <c r="K168" s="66" t="e">
        <f ca="1">_xll.DBRW($A$1,$C168,$B168,K$3,K$1,K$2,$A168)*$D168</f>
        <v>#VALUE!</v>
      </c>
      <c r="L168" s="66" t="e">
        <f t="shared" ca="1" si="78"/>
        <v>#VALUE!</v>
      </c>
      <c r="M168" s="180" t="e">
        <f ca="1">_xll.DBRW($A$1,$C168,$B168,M$3,M$1,M$2,$A168)*$D168</f>
        <v>#VALUE!</v>
      </c>
      <c r="N168" s="66" t="e">
        <f ca="1">_xll.DBRW($A$1,$C168,$B168,N$3,N$1,N$2,$A168)*$D168</f>
        <v>#VALUE!</v>
      </c>
      <c r="O168" s="66" t="e">
        <f t="shared" ca="1" si="79"/>
        <v>#VALUE!</v>
      </c>
      <c r="P168" s="180" t="e">
        <f ca="1">_xll.DBRW($A$1,$C168,$B168,P$3,P$1,P$2,$A168)*$D168</f>
        <v>#VALUE!</v>
      </c>
      <c r="Q168" s="66" t="e">
        <f ca="1">_xll.DBRW($A$1,$C168,$B168,Q$3,Q$1,Q$2,$A168)*$D168</f>
        <v>#VALUE!</v>
      </c>
      <c r="R168" s="66" t="e">
        <f t="shared" ca="1" si="80"/>
        <v>#VALUE!</v>
      </c>
      <c r="S168" s="180" t="e">
        <f ca="1">_xll.DBRW($A$1,$C168,$B168,S$3,S$1,S$2,$A168)*$D168</f>
        <v>#VALUE!</v>
      </c>
      <c r="T168" s="66" t="e">
        <f ca="1">_xll.DBRW($A$1,$C168,$B168,T$3,T$1,T$2,$A168)*$D168</f>
        <v>#VALUE!</v>
      </c>
      <c r="U168" s="66" t="e">
        <f t="shared" ca="1" si="81"/>
        <v>#VALUE!</v>
      </c>
      <c r="V168" s="180" t="e">
        <f ca="1">_xll.DBRW($A$1,$C168,$B168,V$3,V$1,V$2,$A168)*$D168</f>
        <v>#VALUE!</v>
      </c>
      <c r="W168" s="66" t="e">
        <f ca="1">_xll.DBRW($A$1,$C168,$B168,W$3,W$1,W$2,$A168)*$D168</f>
        <v>#VALUE!</v>
      </c>
      <c r="X168" s="66" t="e">
        <f t="shared" ca="1" si="82"/>
        <v>#VALUE!</v>
      </c>
      <c r="Y168" s="180" t="e">
        <f ca="1">_xll.DBRW($A$1,$C168,$B168,Y$3,Y$1,Y$2,$A168)*$D168</f>
        <v>#VALUE!</v>
      </c>
      <c r="Z168" s="66" t="e">
        <f ca="1">_xll.DBRW($A$1,$C168,$B168,Z$3,Z$1,Z$2,$A168)*$D168</f>
        <v>#VALUE!</v>
      </c>
      <c r="AA168" s="66" t="e">
        <f t="shared" ca="1" si="83"/>
        <v>#VALUE!</v>
      </c>
      <c r="AB168" s="180" t="e">
        <f ca="1">_xll.DBRW($A$1,$C168,$B168,AB$3,AB$1,AB$2,$A168)*$D168</f>
        <v>#VALUE!</v>
      </c>
      <c r="AC168" s="66" t="e">
        <f ca="1">_xll.DBRW($A$1,$C168,$B168,AC$3,AC$1,AC$2,$A168)*$D168</f>
        <v>#VALUE!</v>
      </c>
      <c r="AD168" s="66" t="e">
        <f t="shared" ca="1" si="84"/>
        <v>#VALUE!</v>
      </c>
      <c r="AE168" s="180" t="e">
        <f ca="1">_xll.DBRW($A$1,$C168,$B168,AE$3,AE$1,AE$2,$A168)*$D168</f>
        <v>#VALUE!</v>
      </c>
      <c r="AF168" s="66" t="e">
        <f ca="1">_xll.DBRW($A$1,$C168,$B168,AF$3,AF$1,AF$2,$A168)*$D168</f>
        <v>#VALUE!</v>
      </c>
      <c r="AG168" s="66" t="e">
        <f t="shared" ca="1" si="85"/>
        <v>#VALUE!</v>
      </c>
      <c r="AH168" s="180" t="e">
        <f ca="1">_xll.DBRW($A$1,$C168,$B168,AH$3,AH$1,AH$2,$A168)*$D168</f>
        <v>#VALUE!</v>
      </c>
      <c r="AI168" s="66" t="e">
        <f ca="1">_xll.DBRW($A$1,$C168,$B168,AI$3,AI$1,AI$2,$A168)*$D168</f>
        <v>#VALUE!</v>
      </c>
      <c r="AJ168" s="66" t="e">
        <f t="shared" ca="1" si="86"/>
        <v>#VALUE!</v>
      </c>
      <c r="AK168" s="180" t="e">
        <f ca="1">_xll.DBRW($A$1,$C168,$B168,AK$3,AK$1,AK$2,$A168)*$D168</f>
        <v>#VALUE!</v>
      </c>
      <c r="AL168" s="66" t="e">
        <f ca="1">_xll.DBRW($A$1,$C168,$B168,AL$3,AL$1,AL$2,$A168)*$D168</f>
        <v>#VALUE!</v>
      </c>
      <c r="AM168" s="66" t="e">
        <f t="shared" ca="1" si="87"/>
        <v>#VALUE!</v>
      </c>
    </row>
    <row r="169" spans="1:39" ht="15" customHeight="1">
      <c r="A169" s="170" t="s">
        <v>319</v>
      </c>
      <c r="B169" s="169" t="s">
        <v>333</v>
      </c>
      <c r="C169" s="168" t="s">
        <v>133</v>
      </c>
      <c r="D169" s="168">
        <v>1</v>
      </c>
      <c r="E169" s="167" t="str">
        <f ca="1">_xll.DBRA("mfc:skz",B169,"Group")</f>
        <v>Financial Result</v>
      </c>
      <c r="F169" s="63" t="s">
        <v>30</v>
      </c>
      <c r="G169" s="180" t="e">
        <f ca="1">_xll.DBRW($A$1,$C169,$B169,G$3,G$1,G$2,$A169)*$D169</f>
        <v>#VALUE!</v>
      </c>
      <c r="H169" s="67" t="e">
        <f ca="1">_xll.DBRW($A$1,$C169,$B169,H$3,H$1,H$2,$A169)*$D169</f>
        <v>#VALUE!</v>
      </c>
      <c r="I169" s="67" t="e">
        <f t="shared" ca="1" si="77"/>
        <v>#VALUE!</v>
      </c>
      <c r="J169" s="180" t="e">
        <f ca="1">_xll.DBRW($A$1,$C169,$B169,J$3,J$1,J$2,$A169)*$D169</f>
        <v>#VALUE!</v>
      </c>
      <c r="K169" s="67" t="e">
        <f ca="1">_xll.DBRW($A$1,$C169,$B169,K$3,K$1,K$2,$A169)*$D169</f>
        <v>#VALUE!</v>
      </c>
      <c r="L169" s="67" t="e">
        <f t="shared" ca="1" si="78"/>
        <v>#VALUE!</v>
      </c>
      <c r="M169" s="180" t="e">
        <f ca="1">_xll.DBRW($A$1,$C169,$B169,M$3,M$1,M$2,$A169)*$D169</f>
        <v>#VALUE!</v>
      </c>
      <c r="N169" s="67" t="e">
        <f ca="1">_xll.DBRW($A$1,$C169,$B169,N$3,N$1,N$2,$A169)*$D169</f>
        <v>#VALUE!</v>
      </c>
      <c r="O169" s="67" t="e">
        <f t="shared" ca="1" si="79"/>
        <v>#VALUE!</v>
      </c>
      <c r="P169" s="180" t="e">
        <f ca="1">_xll.DBRW($A$1,$C169,$B169,P$3,P$1,P$2,$A169)*$D169</f>
        <v>#VALUE!</v>
      </c>
      <c r="Q169" s="67" t="e">
        <f ca="1">_xll.DBRW($A$1,$C169,$B169,Q$3,Q$1,Q$2,$A169)*$D169</f>
        <v>#VALUE!</v>
      </c>
      <c r="R169" s="67" t="e">
        <f t="shared" ca="1" si="80"/>
        <v>#VALUE!</v>
      </c>
      <c r="S169" s="180" t="e">
        <f ca="1">_xll.DBRW($A$1,$C169,$B169,S$3,S$1,S$2,$A169)*$D169</f>
        <v>#VALUE!</v>
      </c>
      <c r="T169" s="67" t="e">
        <f ca="1">_xll.DBRW($A$1,$C169,$B169,T$3,T$1,T$2,$A169)*$D169</f>
        <v>#VALUE!</v>
      </c>
      <c r="U169" s="67" t="e">
        <f t="shared" ca="1" si="81"/>
        <v>#VALUE!</v>
      </c>
      <c r="V169" s="180" t="e">
        <f ca="1">_xll.DBRW($A$1,$C169,$B169,V$3,V$1,V$2,$A169)*$D169</f>
        <v>#VALUE!</v>
      </c>
      <c r="W169" s="67" t="e">
        <f ca="1">_xll.DBRW($A$1,$C169,$B169,W$3,W$1,W$2,$A169)*$D169</f>
        <v>#VALUE!</v>
      </c>
      <c r="X169" s="67" t="e">
        <f t="shared" ca="1" si="82"/>
        <v>#VALUE!</v>
      </c>
      <c r="Y169" s="180" t="e">
        <f ca="1">_xll.DBRW($A$1,$C169,$B169,Y$3,Y$1,Y$2,$A169)*$D169</f>
        <v>#VALUE!</v>
      </c>
      <c r="Z169" s="67" t="e">
        <f ca="1">_xll.DBRW($A$1,$C169,$B169,Z$3,Z$1,Z$2,$A169)*$D169</f>
        <v>#VALUE!</v>
      </c>
      <c r="AA169" s="67" t="e">
        <f t="shared" ca="1" si="83"/>
        <v>#VALUE!</v>
      </c>
      <c r="AB169" s="180" t="e">
        <f ca="1">_xll.DBRW($A$1,$C169,$B169,AB$3,AB$1,AB$2,$A169)*$D169</f>
        <v>#VALUE!</v>
      </c>
      <c r="AC169" s="67" t="e">
        <f ca="1">_xll.DBRW($A$1,$C169,$B169,AC$3,AC$1,AC$2,$A169)*$D169</f>
        <v>#VALUE!</v>
      </c>
      <c r="AD169" s="67" t="e">
        <f t="shared" ca="1" si="84"/>
        <v>#VALUE!</v>
      </c>
      <c r="AE169" s="180" t="e">
        <f ca="1">_xll.DBRW($A$1,$C169,$B169,AE$3,AE$1,AE$2,$A169)*$D169</f>
        <v>#VALUE!</v>
      </c>
      <c r="AF169" s="67" t="e">
        <f ca="1">_xll.DBRW($A$1,$C169,$B169,AF$3,AF$1,AF$2,$A169)*$D169</f>
        <v>#VALUE!</v>
      </c>
      <c r="AG169" s="67" t="e">
        <f t="shared" ca="1" si="85"/>
        <v>#VALUE!</v>
      </c>
      <c r="AH169" s="180" t="e">
        <f ca="1">_xll.DBRW($A$1,$C169,$B169,AH$3,AH$1,AH$2,$A169)*$D169</f>
        <v>#VALUE!</v>
      </c>
      <c r="AI169" s="67" t="e">
        <f ca="1">_xll.DBRW($A$1,$C169,$B169,AI$3,AI$1,AI$2,$A169)*$D169</f>
        <v>#VALUE!</v>
      </c>
      <c r="AJ169" s="67" t="e">
        <f t="shared" ca="1" si="86"/>
        <v>#VALUE!</v>
      </c>
      <c r="AK169" s="180" t="e">
        <f ca="1">_xll.DBRW($A$1,$C169,$B169,AK$3,AK$1,AK$2,$A169)*$D169</f>
        <v>#VALUE!</v>
      </c>
      <c r="AL169" s="67" t="e">
        <f ca="1">_xll.DBRW($A$1,$C169,$B169,AL$3,AL$1,AL$2,$A169)*$D169</f>
        <v>#VALUE!</v>
      </c>
      <c r="AM169" s="67" t="e">
        <f t="shared" ca="1" si="87"/>
        <v>#VALUE!</v>
      </c>
    </row>
    <row r="170" spans="1:39" ht="15" customHeight="1" thickBot="1">
      <c r="A170" s="170" t="s">
        <v>319</v>
      </c>
      <c r="B170" s="169" t="s">
        <v>332</v>
      </c>
      <c r="C170" s="168" t="s">
        <v>133</v>
      </c>
      <c r="D170" s="168">
        <v>1</v>
      </c>
      <c r="E170" s="167" t="str">
        <f ca="1">_xll.DBRA("mfc:skz",B170,"Group")</f>
        <v>POA</v>
      </c>
      <c r="F170" s="179" t="s">
        <v>147</v>
      </c>
      <c r="G170" s="178" t="e">
        <f ca="1">_xll.DBRW($A$1,$C170,$B170,G$3,G$1,G$2,$A170)*$D170</f>
        <v>#VALUE!</v>
      </c>
      <c r="H170" s="79" t="e">
        <f ca="1">_xll.DBRW($A$1,$C170,$B170,H$3,H$1,H$2,$A170)*$D170</f>
        <v>#VALUE!</v>
      </c>
      <c r="I170" s="79" t="e">
        <f t="shared" ca="1" si="77"/>
        <v>#VALUE!</v>
      </c>
      <c r="J170" s="178" t="e">
        <f ca="1">_xll.DBRW($A$1,$C170,$B170,J$3,J$1,J$2,$A170)*$D170</f>
        <v>#VALUE!</v>
      </c>
      <c r="K170" s="79" t="e">
        <f ca="1">_xll.DBRW($A$1,$C170,$B170,K$3,K$1,K$2,$A170)*$D170</f>
        <v>#VALUE!</v>
      </c>
      <c r="L170" s="79" t="e">
        <f t="shared" ca="1" si="78"/>
        <v>#VALUE!</v>
      </c>
      <c r="M170" s="178" t="e">
        <f ca="1">_xll.DBRW($A$1,$C170,$B170,M$3,M$1,M$2,$A170)*$D170</f>
        <v>#VALUE!</v>
      </c>
      <c r="N170" s="79" t="e">
        <f ca="1">_xll.DBRW($A$1,$C170,$B170,N$3,N$1,N$2,$A170)*$D170</f>
        <v>#VALUE!</v>
      </c>
      <c r="O170" s="79" t="e">
        <f t="shared" ca="1" si="79"/>
        <v>#VALUE!</v>
      </c>
      <c r="P170" s="178" t="e">
        <f ca="1">_xll.DBRW($A$1,$C170,$B170,P$3,P$1,P$2,$A170)*$D170</f>
        <v>#VALUE!</v>
      </c>
      <c r="Q170" s="79" t="e">
        <f ca="1">_xll.DBRW($A$1,$C170,$B170,Q$3,Q$1,Q$2,$A170)*$D170</f>
        <v>#VALUE!</v>
      </c>
      <c r="R170" s="79" t="e">
        <f t="shared" ca="1" si="80"/>
        <v>#VALUE!</v>
      </c>
      <c r="S170" s="178" t="e">
        <f ca="1">_xll.DBRW($A$1,$C170,$B170,S$3,S$1,S$2,$A170)*$D170</f>
        <v>#VALUE!</v>
      </c>
      <c r="T170" s="79" t="e">
        <f ca="1">_xll.DBRW($A$1,$C170,$B170,T$3,T$1,T$2,$A170)*$D170</f>
        <v>#VALUE!</v>
      </c>
      <c r="U170" s="79" t="e">
        <f t="shared" ca="1" si="81"/>
        <v>#VALUE!</v>
      </c>
      <c r="V170" s="178" t="e">
        <f ca="1">_xll.DBRW($A$1,$C170,$B170,V$3,V$1,V$2,$A170)*$D170</f>
        <v>#VALUE!</v>
      </c>
      <c r="W170" s="79" t="e">
        <f ca="1">_xll.DBRW($A$1,$C170,$B170,W$3,W$1,W$2,$A170)*$D170</f>
        <v>#VALUE!</v>
      </c>
      <c r="X170" s="79" t="e">
        <f t="shared" ca="1" si="82"/>
        <v>#VALUE!</v>
      </c>
      <c r="Y170" s="178" t="e">
        <f ca="1">_xll.DBRW($A$1,$C170,$B170,Y$3,Y$1,Y$2,$A170)*$D170</f>
        <v>#VALUE!</v>
      </c>
      <c r="Z170" s="79" t="e">
        <f ca="1">_xll.DBRW($A$1,$C170,$B170,Z$3,Z$1,Z$2,$A170)*$D170</f>
        <v>#VALUE!</v>
      </c>
      <c r="AA170" s="79" t="e">
        <f t="shared" ca="1" si="83"/>
        <v>#VALUE!</v>
      </c>
      <c r="AB170" s="178" t="e">
        <f ca="1">_xll.DBRW($A$1,$C170,$B170,AB$3,AB$1,AB$2,$A170)*$D170</f>
        <v>#VALUE!</v>
      </c>
      <c r="AC170" s="79" t="e">
        <f ca="1">_xll.DBRW($A$1,$C170,$B170,AC$3,AC$1,AC$2,$A170)*$D170</f>
        <v>#VALUE!</v>
      </c>
      <c r="AD170" s="79" t="e">
        <f t="shared" ca="1" si="84"/>
        <v>#VALUE!</v>
      </c>
      <c r="AE170" s="178" t="e">
        <f ca="1">_xll.DBRW($A$1,$C170,$B170,AE$3,AE$1,AE$2,$A170)*$D170</f>
        <v>#VALUE!</v>
      </c>
      <c r="AF170" s="79" t="e">
        <f ca="1">_xll.DBRW($A$1,$C170,$B170,AF$3,AF$1,AF$2,$A170)*$D170</f>
        <v>#VALUE!</v>
      </c>
      <c r="AG170" s="79" t="e">
        <f t="shared" ca="1" si="85"/>
        <v>#VALUE!</v>
      </c>
      <c r="AH170" s="178" t="e">
        <f ca="1">_xll.DBRW($A$1,$C170,$B170,AH$3,AH$1,AH$2,$A170)*$D170</f>
        <v>#VALUE!</v>
      </c>
      <c r="AI170" s="79" t="e">
        <f ca="1">_xll.DBRW($A$1,$C170,$B170,AI$3,AI$1,AI$2,$A170)*$D170</f>
        <v>#VALUE!</v>
      </c>
      <c r="AJ170" s="79" t="e">
        <f t="shared" ca="1" si="86"/>
        <v>#VALUE!</v>
      </c>
      <c r="AK170" s="178" t="e">
        <f ca="1">_xll.DBRW($A$1,$C170,$B170,AK$3,AK$1,AK$2,$A170)*$D170</f>
        <v>#VALUE!</v>
      </c>
      <c r="AL170" s="79" t="e">
        <f ca="1">_xll.DBRW($A$1,$C170,$B170,AL$3,AL$1,AL$2,$A170)*$D170</f>
        <v>#VALUE!</v>
      </c>
      <c r="AM170" s="79" t="e">
        <f t="shared" ca="1" si="87"/>
        <v>#VALUE!</v>
      </c>
    </row>
    <row r="171" spans="1:39" ht="15" customHeight="1" thickTop="1">
      <c r="A171" s="170"/>
      <c r="B171" s="169"/>
      <c r="C171" s="168"/>
      <c r="D171" s="168"/>
      <c r="E171" s="167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</row>
    <row r="172" spans="1:39" ht="15" customHeight="1">
      <c r="A172" s="170"/>
      <c r="B172" s="169"/>
      <c r="C172" s="168"/>
      <c r="D172" s="168"/>
      <c r="E172" s="167"/>
    </row>
    <row r="173" spans="1:39" ht="15" customHeight="1">
      <c r="A173" s="170"/>
      <c r="B173" s="169"/>
      <c r="C173" s="168"/>
      <c r="D173" s="168"/>
      <c r="E173" s="167"/>
      <c r="F173" s="1" t="s">
        <v>140</v>
      </c>
    </row>
    <row r="174" spans="1:39" ht="15" customHeight="1" thickBot="1">
      <c r="A174" s="170"/>
      <c r="B174" s="169"/>
      <c r="C174" s="168"/>
      <c r="D174" s="168"/>
      <c r="E174" s="167"/>
      <c r="F174" s="11" t="s">
        <v>287</v>
      </c>
      <c r="G174" s="172"/>
      <c r="H174" s="9"/>
      <c r="I174" s="9"/>
      <c r="J174" s="172"/>
      <c r="K174" s="9"/>
      <c r="L174" s="9"/>
      <c r="M174" s="172"/>
      <c r="N174" s="9"/>
      <c r="O174" s="9"/>
      <c r="P174" s="172"/>
      <c r="Q174" s="9"/>
      <c r="R174" s="9"/>
      <c r="S174" s="172"/>
      <c r="T174" s="9"/>
      <c r="U174" s="9"/>
      <c r="V174" s="172"/>
      <c r="W174" s="9"/>
      <c r="X174" s="9"/>
      <c r="Y174" s="172"/>
      <c r="Z174" s="9"/>
      <c r="AA174" s="9"/>
      <c r="AB174" s="172"/>
      <c r="AC174" s="9"/>
      <c r="AD174" s="9"/>
      <c r="AE174" s="172"/>
      <c r="AF174" s="9"/>
      <c r="AG174" s="9"/>
      <c r="AH174" s="172"/>
      <c r="AI174" s="9"/>
      <c r="AJ174" s="9"/>
      <c r="AK174" s="172"/>
      <c r="AL174" s="9"/>
      <c r="AM174" s="9"/>
    </row>
    <row r="175" spans="1:39" ht="15" customHeight="1" thickTop="1">
      <c r="A175" s="170" t="s">
        <v>325</v>
      </c>
      <c r="B175" s="169" t="s">
        <v>327</v>
      </c>
      <c r="C175" s="168" t="s">
        <v>133</v>
      </c>
      <c r="D175" s="168">
        <v>1</v>
      </c>
      <c r="E175" s="167" t="str">
        <f ca="1">_xll.DBRA("mfc:skz",B175,"Group")</f>
        <v>CAPEX</v>
      </c>
      <c r="F175" s="5" t="s">
        <v>187</v>
      </c>
      <c r="G175" s="171" t="e">
        <f ca="1">_xll.DBRW($A$1,$C175,$B175,G$3,G$1,G$2,$A175)*$D175</f>
        <v>#VALUE!</v>
      </c>
      <c r="H175" s="12" t="e">
        <f ca="1">_xll.DBRW($A$1,$C175,$B175,H$3,H$1,H$2,$A175)*$D175</f>
        <v>#VALUE!</v>
      </c>
      <c r="I175" s="12" t="e">
        <f t="shared" ref="I175:I180" ca="1" si="88">+G175-H175</f>
        <v>#VALUE!</v>
      </c>
      <c r="J175" s="171" t="e">
        <f ca="1">_xll.DBRW($A$1,$C175,$B175,J$3,J$1,J$2,$A175)*$D175</f>
        <v>#VALUE!</v>
      </c>
      <c r="K175" s="12" t="e">
        <f ca="1">_xll.DBRW($A$1,$C175,$B175,K$3,K$1,K$2,$A175)*$D175</f>
        <v>#VALUE!</v>
      </c>
      <c r="L175" s="12" t="e">
        <f t="shared" ref="L175:L180" ca="1" si="89">+J175-K175</f>
        <v>#VALUE!</v>
      </c>
      <c r="M175" s="171" t="e">
        <f ca="1">_xll.DBRW($A$1,$C175,$B175,M$3,M$1,M$2,$A175)*$D175</f>
        <v>#VALUE!</v>
      </c>
      <c r="N175" s="12" t="e">
        <f ca="1">_xll.DBRW($A$1,$C175,$B175,N$3,N$1,N$2,$A175)*$D175</f>
        <v>#VALUE!</v>
      </c>
      <c r="O175" s="12" t="e">
        <f t="shared" ref="O175:O180" ca="1" si="90">+M175-N175</f>
        <v>#VALUE!</v>
      </c>
      <c r="P175" s="171" t="e">
        <f ca="1">_xll.DBRW($A$1,$C175,$B175,P$3,P$1,P$2,$A175)*$D175</f>
        <v>#VALUE!</v>
      </c>
      <c r="Q175" s="12" t="e">
        <f ca="1">_xll.DBRW($A$1,$C175,$B175,Q$3,Q$1,Q$2,$A175)*$D175</f>
        <v>#VALUE!</v>
      </c>
      <c r="R175" s="12" t="e">
        <f t="shared" ref="R175:R180" ca="1" si="91">+P175-Q175</f>
        <v>#VALUE!</v>
      </c>
      <c r="S175" s="171" t="e">
        <f ca="1">_xll.DBRW($A$1,$C175,$B175,S$3,S$1,S$2,$A175)*$D175</f>
        <v>#VALUE!</v>
      </c>
      <c r="T175" s="12" t="e">
        <f ca="1">_xll.DBRW($A$1,$C175,$B175,T$3,T$1,T$2,$A175)*$D175</f>
        <v>#VALUE!</v>
      </c>
      <c r="U175" s="12" t="e">
        <f t="shared" ref="U175:U180" ca="1" si="92">+S175-T175</f>
        <v>#VALUE!</v>
      </c>
      <c r="V175" s="171" t="e">
        <f ca="1">_xll.DBRW($A$1,$C175,$B175,V$3,V$1,V$2,$A175)*$D175</f>
        <v>#VALUE!</v>
      </c>
      <c r="W175" s="12" t="e">
        <f ca="1">_xll.DBRW($A$1,$C175,$B175,W$3,W$1,W$2,$A175)*$D175</f>
        <v>#VALUE!</v>
      </c>
      <c r="X175" s="12" t="e">
        <f t="shared" ref="X175:X180" ca="1" si="93">+V175-W175</f>
        <v>#VALUE!</v>
      </c>
      <c r="Y175" s="171" t="e">
        <f ca="1">_xll.DBRW($A$1,$C175,$B175,Y$3,Y$1,Y$2,$A175)*$D175</f>
        <v>#VALUE!</v>
      </c>
      <c r="Z175" s="12" t="e">
        <f ca="1">_xll.DBRW($A$1,$C175,$B175,Z$3,Z$1,Z$2,$A175)*$D175</f>
        <v>#VALUE!</v>
      </c>
      <c r="AA175" s="12" t="e">
        <f t="shared" ref="AA175:AA180" ca="1" si="94">+Y175-Z175</f>
        <v>#VALUE!</v>
      </c>
      <c r="AB175" s="171" t="e">
        <f ca="1">_xll.DBRW($A$1,$C175,$B175,AB$3,AB$1,AB$2,$A175)*$D175</f>
        <v>#VALUE!</v>
      </c>
      <c r="AC175" s="12" t="e">
        <f ca="1">_xll.DBRW($A$1,$C175,$B175,AC$3,AC$1,AC$2,$A175)*$D175</f>
        <v>#VALUE!</v>
      </c>
      <c r="AD175" s="12" t="e">
        <f t="shared" ref="AD175:AD180" ca="1" si="95">+AB175-AC175</f>
        <v>#VALUE!</v>
      </c>
      <c r="AE175" s="171" t="e">
        <f ca="1">_xll.DBRW($A$1,$C175,$B175,AE$3,AE$1,AE$2,$A175)*$D175</f>
        <v>#VALUE!</v>
      </c>
      <c r="AF175" s="12" t="e">
        <f ca="1">_xll.DBRW($A$1,$C175,$B175,AF$3,AF$1,AF$2,$A175)*$D175</f>
        <v>#VALUE!</v>
      </c>
      <c r="AG175" s="12" t="e">
        <f t="shared" ref="AG175:AG180" ca="1" si="96">+AE175-AF175</f>
        <v>#VALUE!</v>
      </c>
      <c r="AH175" s="171" t="e">
        <f ca="1">_xll.DBRW($A$1,$C175,$B175,AH$3,AH$1,AH$2,$A175)*$D175</f>
        <v>#VALUE!</v>
      </c>
      <c r="AI175" s="12" t="e">
        <f ca="1">_xll.DBRW($A$1,$C175,$B175,AI$3,AI$1,AI$2,$A175)*$D175</f>
        <v>#VALUE!</v>
      </c>
      <c r="AJ175" s="12" t="e">
        <f t="shared" ref="AJ175:AJ180" ca="1" si="97">+AH175-AI175</f>
        <v>#VALUE!</v>
      </c>
      <c r="AK175" s="171" t="e">
        <f ca="1">_xll.DBRW($A$1,$C175,$B175,AK$3,AK$1,AK$2,$A175)*$D175</f>
        <v>#VALUE!</v>
      </c>
      <c r="AL175" s="12" t="e">
        <f ca="1">_xll.DBRW($A$1,$C175,$B175,AL$3,AL$1,AL$2,$A175)*$D175</f>
        <v>#VALUE!</v>
      </c>
      <c r="AM175" s="12" t="e">
        <f t="shared" ref="AM175:AM180" ca="1" si="98">+AK175-AL175</f>
        <v>#VALUE!</v>
      </c>
    </row>
    <row r="176" spans="1:39">
      <c r="A176" s="170" t="s">
        <v>331</v>
      </c>
      <c r="B176" s="169" t="s">
        <v>327</v>
      </c>
      <c r="C176" s="168" t="s">
        <v>133</v>
      </c>
      <c r="D176" s="168">
        <v>1</v>
      </c>
      <c r="E176" s="167" t="str">
        <f ca="1">_xll.DBRA("mfc:skz",B176,"Group")</f>
        <v>CAPEX</v>
      </c>
      <c r="F176" s="5" t="s">
        <v>188</v>
      </c>
      <c r="G176" s="171" t="e">
        <f ca="1">_xll.DBRW($A$1,$C176,$B176,G$3,G$1,G$2,$A176)*$D176</f>
        <v>#VALUE!</v>
      </c>
      <c r="H176" s="12" t="e">
        <f ca="1">_xll.DBRW($A$1,$C176,$B176,H$3,H$1,H$2,$A176)*$D176</f>
        <v>#VALUE!</v>
      </c>
      <c r="I176" s="12" t="e">
        <f t="shared" ca="1" si="88"/>
        <v>#VALUE!</v>
      </c>
      <c r="J176" s="171" t="e">
        <f ca="1">_xll.DBRW($A$1,$C176,$B176,J$3,J$1,J$2,$A176)*$D176</f>
        <v>#VALUE!</v>
      </c>
      <c r="K176" s="12" t="e">
        <f ca="1">_xll.DBRW($A$1,$C176,$B176,K$3,K$1,K$2,$A176)*$D176</f>
        <v>#VALUE!</v>
      </c>
      <c r="L176" s="12" t="e">
        <f t="shared" ca="1" si="89"/>
        <v>#VALUE!</v>
      </c>
      <c r="M176" s="171" t="e">
        <f ca="1">_xll.DBRW($A$1,$C176,$B176,M$3,M$1,M$2,$A176)*$D176</f>
        <v>#VALUE!</v>
      </c>
      <c r="N176" s="12" t="e">
        <f ca="1">_xll.DBRW($A$1,$C176,$B176,N$3,N$1,N$2,$A176)*$D176</f>
        <v>#VALUE!</v>
      </c>
      <c r="O176" s="12" t="e">
        <f t="shared" ca="1" si="90"/>
        <v>#VALUE!</v>
      </c>
      <c r="P176" s="171" t="e">
        <f ca="1">_xll.DBRW($A$1,$C176,$B176,P$3,P$1,P$2,$A176)*$D176</f>
        <v>#VALUE!</v>
      </c>
      <c r="Q176" s="12" t="e">
        <f ca="1">_xll.DBRW($A$1,$C176,$B176,Q$3,Q$1,Q$2,$A176)*$D176</f>
        <v>#VALUE!</v>
      </c>
      <c r="R176" s="12" t="e">
        <f t="shared" ca="1" si="91"/>
        <v>#VALUE!</v>
      </c>
      <c r="S176" s="171" t="e">
        <f ca="1">_xll.DBRW($A$1,$C176,$B176,S$3,S$1,S$2,$A176)*$D176</f>
        <v>#VALUE!</v>
      </c>
      <c r="T176" s="12" t="e">
        <f ca="1">_xll.DBRW($A$1,$C176,$B176,T$3,T$1,T$2,$A176)*$D176</f>
        <v>#VALUE!</v>
      </c>
      <c r="U176" s="12" t="e">
        <f t="shared" ca="1" si="92"/>
        <v>#VALUE!</v>
      </c>
      <c r="V176" s="171" t="e">
        <f ca="1">_xll.DBRW($A$1,$C176,$B176,V$3,V$1,V$2,$A176)*$D176</f>
        <v>#VALUE!</v>
      </c>
      <c r="W176" s="12" t="e">
        <f ca="1">_xll.DBRW($A$1,$C176,$B176,W$3,W$1,W$2,$A176)*$D176</f>
        <v>#VALUE!</v>
      </c>
      <c r="X176" s="12" t="e">
        <f t="shared" ca="1" si="93"/>
        <v>#VALUE!</v>
      </c>
      <c r="Y176" s="171" t="e">
        <f ca="1">_xll.DBRW($A$1,$C176,$B176,Y$3,Y$1,Y$2,$A176)*$D176</f>
        <v>#VALUE!</v>
      </c>
      <c r="Z176" s="12" t="e">
        <f ca="1">_xll.DBRW($A$1,$C176,$B176,Z$3,Z$1,Z$2,$A176)*$D176</f>
        <v>#VALUE!</v>
      </c>
      <c r="AA176" s="12" t="e">
        <f t="shared" ca="1" si="94"/>
        <v>#VALUE!</v>
      </c>
      <c r="AB176" s="171" t="e">
        <f ca="1">_xll.DBRW($A$1,$C176,$B176,AB$3,AB$1,AB$2,$A176)*$D176</f>
        <v>#VALUE!</v>
      </c>
      <c r="AC176" s="12" t="e">
        <f ca="1">_xll.DBRW($A$1,$C176,$B176,AC$3,AC$1,AC$2,$A176)*$D176</f>
        <v>#VALUE!</v>
      </c>
      <c r="AD176" s="12" t="e">
        <f t="shared" ca="1" si="95"/>
        <v>#VALUE!</v>
      </c>
      <c r="AE176" s="171" t="e">
        <f ca="1">_xll.DBRW($A$1,$C176,$B176,AE$3,AE$1,AE$2,$A176)*$D176</f>
        <v>#VALUE!</v>
      </c>
      <c r="AF176" s="12" t="e">
        <f ca="1">_xll.DBRW($A$1,$C176,$B176,AF$3,AF$1,AF$2,$A176)*$D176</f>
        <v>#VALUE!</v>
      </c>
      <c r="AG176" s="12" t="e">
        <f t="shared" ca="1" si="96"/>
        <v>#VALUE!</v>
      </c>
      <c r="AH176" s="171" t="e">
        <f ca="1">_xll.DBRW($A$1,$C176,$B176,AH$3,AH$1,AH$2,$A176)*$D176</f>
        <v>#VALUE!</v>
      </c>
      <c r="AI176" s="12" t="e">
        <f ca="1">_xll.DBRW($A$1,$C176,$B176,AI$3,AI$1,AI$2,$A176)*$D176</f>
        <v>#VALUE!</v>
      </c>
      <c r="AJ176" s="12" t="e">
        <f t="shared" ca="1" si="97"/>
        <v>#VALUE!</v>
      </c>
      <c r="AK176" s="171" t="e">
        <f ca="1">_xll.DBRW($A$1,$C176,$B176,AK$3,AK$1,AK$2,$A176)*$D176</f>
        <v>#VALUE!</v>
      </c>
      <c r="AL176" s="12" t="e">
        <f ca="1">_xll.DBRW($A$1,$C176,$B176,AL$3,AL$1,AL$2,$A176)*$D176</f>
        <v>#VALUE!</v>
      </c>
      <c r="AM176" s="12" t="e">
        <f t="shared" ca="1" si="98"/>
        <v>#VALUE!</v>
      </c>
    </row>
    <row r="177" spans="1:39" ht="15" customHeight="1">
      <c r="A177" s="170" t="s">
        <v>330</v>
      </c>
      <c r="B177" s="169" t="s">
        <v>327</v>
      </c>
      <c r="C177" s="168" t="s">
        <v>133</v>
      </c>
      <c r="D177" s="168">
        <v>1</v>
      </c>
      <c r="E177" s="167" t="str">
        <f ca="1">_xll.DBRA("mfc:skz",B177,"Group")</f>
        <v>CAPEX</v>
      </c>
      <c r="F177" s="91" t="s">
        <v>190</v>
      </c>
      <c r="G177" s="171" t="e">
        <f ca="1">_xll.DBRW($A$1,$C177,$B177,G$3,G$1,G$2,$A177)*$D177</f>
        <v>#VALUE!</v>
      </c>
      <c r="H177" s="12" t="e">
        <f ca="1">_xll.DBRW($A$1,$C177,$B177,H$3,H$1,H$2,$A177)*$D177</f>
        <v>#VALUE!</v>
      </c>
      <c r="I177" s="12" t="e">
        <f t="shared" ca="1" si="88"/>
        <v>#VALUE!</v>
      </c>
      <c r="J177" s="171" t="e">
        <f ca="1">_xll.DBRW($A$1,$C177,$B177,J$3,J$1,J$2,$A177)*$D177</f>
        <v>#VALUE!</v>
      </c>
      <c r="K177" s="12" t="e">
        <f ca="1">_xll.DBRW($A$1,$C177,$B177,K$3,K$1,K$2,$A177)*$D177</f>
        <v>#VALUE!</v>
      </c>
      <c r="L177" s="12" t="e">
        <f t="shared" ca="1" si="89"/>
        <v>#VALUE!</v>
      </c>
      <c r="M177" s="171" t="e">
        <f ca="1">_xll.DBRW($A$1,$C177,$B177,M$3,M$1,M$2,$A177)*$D177</f>
        <v>#VALUE!</v>
      </c>
      <c r="N177" s="12" t="e">
        <f ca="1">_xll.DBRW($A$1,$C177,$B177,N$3,N$1,N$2,$A177)*$D177</f>
        <v>#VALUE!</v>
      </c>
      <c r="O177" s="12" t="e">
        <f t="shared" ca="1" si="90"/>
        <v>#VALUE!</v>
      </c>
      <c r="P177" s="171" t="e">
        <f ca="1">_xll.DBRW($A$1,$C177,$B177,P$3,P$1,P$2,$A177)*$D177</f>
        <v>#VALUE!</v>
      </c>
      <c r="Q177" s="12" t="e">
        <f ca="1">_xll.DBRW($A$1,$C177,$B177,Q$3,Q$1,Q$2,$A177)*$D177</f>
        <v>#VALUE!</v>
      </c>
      <c r="R177" s="12" t="e">
        <f t="shared" ca="1" si="91"/>
        <v>#VALUE!</v>
      </c>
      <c r="S177" s="171" t="e">
        <f ca="1">_xll.DBRW($A$1,$C177,$B177,S$3,S$1,S$2,$A177)*$D177</f>
        <v>#VALUE!</v>
      </c>
      <c r="T177" s="12" t="e">
        <f ca="1">_xll.DBRW($A$1,$C177,$B177,T$3,T$1,T$2,$A177)*$D177</f>
        <v>#VALUE!</v>
      </c>
      <c r="U177" s="12" t="e">
        <f t="shared" ca="1" si="92"/>
        <v>#VALUE!</v>
      </c>
      <c r="V177" s="171" t="e">
        <f ca="1">_xll.DBRW($A$1,$C177,$B177,V$3,V$1,V$2,$A177)*$D177</f>
        <v>#VALUE!</v>
      </c>
      <c r="W177" s="12" t="e">
        <f ca="1">_xll.DBRW($A$1,$C177,$B177,W$3,W$1,W$2,$A177)*$D177</f>
        <v>#VALUE!</v>
      </c>
      <c r="X177" s="12" t="e">
        <f t="shared" ca="1" si="93"/>
        <v>#VALUE!</v>
      </c>
      <c r="Y177" s="171" t="e">
        <f ca="1">_xll.DBRW($A$1,$C177,$B177,Y$3,Y$1,Y$2,$A177)*$D177</f>
        <v>#VALUE!</v>
      </c>
      <c r="Z177" s="12" t="e">
        <f ca="1">_xll.DBRW($A$1,$C177,$B177,Z$3,Z$1,Z$2,$A177)*$D177</f>
        <v>#VALUE!</v>
      </c>
      <c r="AA177" s="12" t="e">
        <f t="shared" ca="1" si="94"/>
        <v>#VALUE!</v>
      </c>
      <c r="AB177" s="171" t="e">
        <f ca="1">_xll.DBRW($A$1,$C177,$B177,AB$3,AB$1,AB$2,$A177)*$D177</f>
        <v>#VALUE!</v>
      </c>
      <c r="AC177" s="12" t="e">
        <f ca="1">_xll.DBRW($A$1,$C177,$B177,AC$3,AC$1,AC$2,$A177)*$D177</f>
        <v>#VALUE!</v>
      </c>
      <c r="AD177" s="12" t="e">
        <f t="shared" ca="1" si="95"/>
        <v>#VALUE!</v>
      </c>
      <c r="AE177" s="171" t="e">
        <f ca="1">_xll.DBRW($A$1,$C177,$B177,AE$3,AE$1,AE$2,$A177)*$D177</f>
        <v>#VALUE!</v>
      </c>
      <c r="AF177" s="12" t="e">
        <f ca="1">_xll.DBRW($A$1,$C177,$B177,AF$3,AF$1,AF$2,$A177)*$D177</f>
        <v>#VALUE!</v>
      </c>
      <c r="AG177" s="12" t="e">
        <f t="shared" ca="1" si="96"/>
        <v>#VALUE!</v>
      </c>
      <c r="AH177" s="171" t="e">
        <f ca="1">_xll.DBRW($A$1,$C177,$B177,AH$3,AH$1,AH$2,$A177)*$D177</f>
        <v>#VALUE!</v>
      </c>
      <c r="AI177" s="12" t="e">
        <f ca="1">_xll.DBRW($A$1,$C177,$B177,AI$3,AI$1,AI$2,$A177)*$D177</f>
        <v>#VALUE!</v>
      </c>
      <c r="AJ177" s="12" t="e">
        <f t="shared" ca="1" si="97"/>
        <v>#VALUE!</v>
      </c>
      <c r="AK177" s="171" t="e">
        <f ca="1">_xll.DBRW($A$1,$C177,$B177,AK$3,AK$1,AK$2,$A177)*$D177</f>
        <v>#VALUE!</v>
      </c>
      <c r="AL177" s="12" t="e">
        <f ca="1">_xll.DBRW($A$1,$C177,$B177,AL$3,AL$1,AL$2,$A177)*$D177</f>
        <v>#VALUE!</v>
      </c>
      <c r="AM177" s="12" t="e">
        <f t="shared" ca="1" si="98"/>
        <v>#VALUE!</v>
      </c>
    </row>
    <row r="178" spans="1:39" ht="15" customHeight="1">
      <c r="A178" s="170" t="s">
        <v>322</v>
      </c>
      <c r="B178" s="169" t="s">
        <v>329</v>
      </c>
      <c r="C178" s="168" t="s">
        <v>133</v>
      </c>
      <c r="D178" s="168">
        <v>1</v>
      </c>
      <c r="E178" s="167" t="str">
        <f ca="1">_xll.DBRA("mfc:skz",B178,"Group")</f>
        <v>CAPEX</v>
      </c>
      <c r="F178" s="91" t="s">
        <v>191</v>
      </c>
      <c r="G178" s="171" t="e">
        <f ca="1">_xll.DBRW($A$1,$C178,$B178,G$3,G$1,G$2,$A178)*$D178</f>
        <v>#VALUE!</v>
      </c>
      <c r="H178" s="12" t="e">
        <f ca="1">_xll.DBRW($A$1,$C178,$B178,H$3,H$1,H$2,$A178)*$D178</f>
        <v>#VALUE!</v>
      </c>
      <c r="I178" s="12" t="e">
        <f t="shared" ca="1" si="88"/>
        <v>#VALUE!</v>
      </c>
      <c r="J178" s="171" t="e">
        <f ca="1">_xll.DBRW($A$1,$C178,$B178,J$3,J$1,J$2,$A178)*$D178</f>
        <v>#VALUE!</v>
      </c>
      <c r="K178" s="12" t="e">
        <f ca="1">_xll.DBRW($A$1,$C178,$B178,K$3,K$1,K$2,$A178)*$D178</f>
        <v>#VALUE!</v>
      </c>
      <c r="L178" s="12" t="e">
        <f t="shared" ca="1" si="89"/>
        <v>#VALUE!</v>
      </c>
      <c r="M178" s="171" t="e">
        <f ca="1">_xll.DBRW($A$1,$C178,$B178,M$3,M$1,M$2,$A178)*$D178</f>
        <v>#VALUE!</v>
      </c>
      <c r="N178" s="12" t="e">
        <f ca="1">_xll.DBRW($A$1,$C178,$B178,N$3,N$1,N$2,$A178)*$D178</f>
        <v>#VALUE!</v>
      </c>
      <c r="O178" s="12" t="e">
        <f t="shared" ca="1" si="90"/>
        <v>#VALUE!</v>
      </c>
      <c r="P178" s="171" t="e">
        <f ca="1">_xll.DBRW($A$1,$C178,$B178,P$3,P$1,P$2,$A178)*$D178</f>
        <v>#VALUE!</v>
      </c>
      <c r="Q178" s="12" t="e">
        <f ca="1">_xll.DBRW($A$1,$C178,$B178,Q$3,Q$1,Q$2,$A178)*$D178</f>
        <v>#VALUE!</v>
      </c>
      <c r="R178" s="12" t="e">
        <f t="shared" ca="1" si="91"/>
        <v>#VALUE!</v>
      </c>
      <c r="S178" s="171" t="e">
        <f ca="1">_xll.DBRW($A$1,$C178,$B178,S$3,S$1,S$2,$A178)*$D178</f>
        <v>#VALUE!</v>
      </c>
      <c r="T178" s="12" t="e">
        <f ca="1">_xll.DBRW($A$1,$C178,$B178,T$3,T$1,T$2,$A178)*$D178</f>
        <v>#VALUE!</v>
      </c>
      <c r="U178" s="12" t="e">
        <f t="shared" ca="1" si="92"/>
        <v>#VALUE!</v>
      </c>
      <c r="V178" s="171" t="e">
        <f ca="1">_xll.DBRW($A$1,$C178,$B178,V$3,V$1,V$2,$A178)*$D178</f>
        <v>#VALUE!</v>
      </c>
      <c r="W178" s="12" t="e">
        <f ca="1">_xll.DBRW($A$1,$C178,$B178,W$3,W$1,W$2,$A178)*$D178</f>
        <v>#VALUE!</v>
      </c>
      <c r="X178" s="12" t="e">
        <f t="shared" ca="1" si="93"/>
        <v>#VALUE!</v>
      </c>
      <c r="Y178" s="171" t="e">
        <f ca="1">_xll.DBRW($A$1,$C178,$B178,Y$3,Y$1,Y$2,$A178)*$D178</f>
        <v>#VALUE!</v>
      </c>
      <c r="Z178" s="12" t="e">
        <f ca="1">_xll.DBRW($A$1,$C178,$B178,Z$3,Z$1,Z$2,$A178)*$D178</f>
        <v>#VALUE!</v>
      </c>
      <c r="AA178" s="12" t="e">
        <f t="shared" ca="1" si="94"/>
        <v>#VALUE!</v>
      </c>
      <c r="AB178" s="171" t="e">
        <f ca="1">_xll.DBRW($A$1,$C178,$B178,AB$3,AB$1,AB$2,$A178)*$D178</f>
        <v>#VALUE!</v>
      </c>
      <c r="AC178" s="12" t="e">
        <f ca="1">_xll.DBRW($A$1,$C178,$B178,AC$3,AC$1,AC$2,$A178)*$D178</f>
        <v>#VALUE!</v>
      </c>
      <c r="AD178" s="12" t="e">
        <f t="shared" ca="1" si="95"/>
        <v>#VALUE!</v>
      </c>
      <c r="AE178" s="171" t="e">
        <f ca="1">_xll.DBRW($A$1,$C178,$B178,AE$3,AE$1,AE$2,$A178)*$D178</f>
        <v>#VALUE!</v>
      </c>
      <c r="AF178" s="12" t="e">
        <f ca="1">_xll.DBRW($A$1,$C178,$B178,AF$3,AF$1,AF$2,$A178)*$D178</f>
        <v>#VALUE!</v>
      </c>
      <c r="AG178" s="12" t="e">
        <f t="shared" ca="1" si="96"/>
        <v>#VALUE!</v>
      </c>
      <c r="AH178" s="171" t="e">
        <f ca="1">_xll.DBRW($A$1,$C178,$B178,AH$3,AH$1,AH$2,$A178)*$D178</f>
        <v>#VALUE!</v>
      </c>
      <c r="AI178" s="12" t="e">
        <f ca="1">_xll.DBRW($A$1,$C178,$B178,AI$3,AI$1,AI$2,$A178)*$D178</f>
        <v>#VALUE!</v>
      </c>
      <c r="AJ178" s="12" t="e">
        <f t="shared" ca="1" si="97"/>
        <v>#VALUE!</v>
      </c>
      <c r="AK178" s="171" t="e">
        <f ca="1">_xll.DBRW($A$1,$C178,$B178,AK$3,AK$1,AK$2,$A178)*$D178</f>
        <v>#VALUE!</v>
      </c>
      <c r="AL178" s="12" t="e">
        <f ca="1">_xll.DBRW($A$1,$C178,$B178,AL$3,AL$1,AL$2,$A178)*$D178</f>
        <v>#VALUE!</v>
      </c>
      <c r="AM178" s="12" t="e">
        <f t="shared" ca="1" si="98"/>
        <v>#VALUE!</v>
      </c>
    </row>
    <row r="179" spans="1:39" ht="15" customHeight="1">
      <c r="A179" s="170" t="s">
        <v>321</v>
      </c>
      <c r="B179" s="169" t="s">
        <v>327</v>
      </c>
      <c r="C179" s="168" t="s">
        <v>133</v>
      </c>
      <c r="D179" s="168">
        <v>1</v>
      </c>
      <c r="E179" s="167" t="str">
        <f ca="1">_xll.DBRA("mfc:skz",B179,"Group")</f>
        <v>CAPEX</v>
      </c>
      <c r="F179" s="5" t="s">
        <v>38</v>
      </c>
      <c r="G179" s="171" t="e">
        <f ca="1">_xll.DBRW($A$1,$C179,$B179,G$3,G$1,G$2,$A179)*$D179</f>
        <v>#VALUE!</v>
      </c>
      <c r="H179" s="12" t="e">
        <f ca="1">_xll.DBRW($A$1,$C179,$B179,H$3,H$1,H$2,$A179)*$D179</f>
        <v>#VALUE!</v>
      </c>
      <c r="I179" s="12" t="e">
        <f t="shared" ca="1" si="88"/>
        <v>#VALUE!</v>
      </c>
      <c r="J179" s="171" t="e">
        <f ca="1">_xll.DBRW($A$1,$C179,$B179,J$3,J$1,J$2,$A179)*$D179</f>
        <v>#VALUE!</v>
      </c>
      <c r="K179" s="12" t="e">
        <f ca="1">_xll.DBRW($A$1,$C179,$B179,K$3,K$1,K$2,$A179)*$D179</f>
        <v>#VALUE!</v>
      </c>
      <c r="L179" s="12" t="e">
        <f t="shared" ca="1" si="89"/>
        <v>#VALUE!</v>
      </c>
      <c r="M179" s="171" t="e">
        <f ca="1">_xll.DBRW($A$1,$C179,$B179,M$3,M$1,M$2,$A179)*$D179</f>
        <v>#VALUE!</v>
      </c>
      <c r="N179" s="12" t="e">
        <f ca="1">_xll.DBRW($A$1,$C179,$B179,N$3,N$1,N$2,$A179)*$D179</f>
        <v>#VALUE!</v>
      </c>
      <c r="O179" s="12" t="e">
        <f t="shared" ca="1" si="90"/>
        <v>#VALUE!</v>
      </c>
      <c r="P179" s="171" t="e">
        <f ca="1">_xll.DBRW($A$1,$C179,$B179,P$3,P$1,P$2,$A179)*$D179</f>
        <v>#VALUE!</v>
      </c>
      <c r="Q179" s="12" t="e">
        <f ca="1">_xll.DBRW($A$1,$C179,$B179,Q$3,Q$1,Q$2,$A179)*$D179</f>
        <v>#VALUE!</v>
      </c>
      <c r="R179" s="12" t="e">
        <f t="shared" ca="1" si="91"/>
        <v>#VALUE!</v>
      </c>
      <c r="S179" s="171" t="e">
        <f ca="1">_xll.DBRW($A$1,$C179,$B179,S$3,S$1,S$2,$A179)*$D179</f>
        <v>#VALUE!</v>
      </c>
      <c r="T179" s="12" t="e">
        <f ca="1">_xll.DBRW($A$1,$C179,$B179,T$3,T$1,T$2,$A179)*$D179</f>
        <v>#VALUE!</v>
      </c>
      <c r="U179" s="12" t="e">
        <f t="shared" ca="1" si="92"/>
        <v>#VALUE!</v>
      </c>
      <c r="V179" s="171" t="e">
        <f ca="1">_xll.DBRW($A$1,$C179,$B179,V$3,V$1,V$2,$A179)*$D179</f>
        <v>#VALUE!</v>
      </c>
      <c r="W179" s="12" t="e">
        <f ca="1">_xll.DBRW($A$1,$C179,$B179,W$3,W$1,W$2,$A179)*$D179</f>
        <v>#VALUE!</v>
      </c>
      <c r="X179" s="12" t="e">
        <f t="shared" ca="1" si="93"/>
        <v>#VALUE!</v>
      </c>
      <c r="Y179" s="171" t="e">
        <f ca="1">_xll.DBRW($A$1,$C179,$B179,Y$3,Y$1,Y$2,$A179)*$D179</f>
        <v>#VALUE!</v>
      </c>
      <c r="Z179" s="12" t="e">
        <f ca="1">_xll.DBRW($A$1,$C179,$B179,Z$3,Z$1,Z$2,$A179)*$D179</f>
        <v>#VALUE!</v>
      </c>
      <c r="AA179" s="12" t="e">
        <f t="shared" ca="1" si="94"/>
        <v>#VALUE!</v>
      </c>
      <c r="AB179" s="171" t="e">
        <f ca="1">_xll.DBRW($A$1,$C179,$B179,AB$3,AB$1,AB$2,$A179)*$D179</f>
        <v>#VALUE!</v>
      </c>
      <c r="AC179" s="12" t="e">
        <f ca="1">_xll.DBRW($A$1,$C179,$B179,AC$3,AC$1,AC$2,$A179)*$D179</f>
        <v>#VALUE!</v>
      </c>
      <c r="AD179" s="12" t="e">
        <f t="shared" ca="1" si="95"/>
        <v>#VALUE!</v>
      </c>
      <c r="AE179" s="171" t="e">
        <f ca="1">_xll.DBRW($A$1,$C179,$B179,AE$3,AE$1,AE$2,$A179)*$D179</f>
        <v>#VALUE!</v>
      </c>
      <c r="AF179" s="12" t="e">
        <f ca="1">_xll.DBRW($A$1,$C179,$B179,AF$3,AF$1,AF$2,$A179)*$D179</f>
        <v>#VALUE!</v>
      </c>
      <c r="AG179" s="12" t="e">
        <f t="shared" ca="1" si="96"/>
        <v>#VALUE!</v>
      </c>
      <c r="AH179" s="171" t="e">
        <f ca="1">_xll.DBRW($A$1,$C179,$B179,AH$3,AH$1,AH$2,$A179)*$D179</f>
        <v>#VALUE!</v>
      </c>
      <c r="AI179" s="12" t="e">
        <f ca="1">_xll.DBRW($A$1,$C179,$B179,AI$3,AI$1,AI$2,$A179)*$D179</f>
        <v>#VALUE!</v>
      </c>
      <c r="AJ179" s="12" t="e">
        <f t="shared" ca="1" si="97"/>
        <v>#VALUE!</v>
      </c>
      <c r="AK179" s="171" t="e">
        <f ca="1">_xll.DBRW($A$1,$C179,$B179,AK$3,AK$1,AK$2,$A179)*$D179</f>
        <v>#VALUE!</v>
      </c>
      <c r="AL179" s="12" t="e">
        <f ca="1">_xll.DBRW($A$1,$C179,$B179,AL$3,AL$1,AL$2,$A179)*$D179</f>
        <v>#VALUE!</v>
      </c>
      <c r="AM179" s="12" t="e">
        <f t="shared" ca="1" si="98"/>
        <v>#VALUE!</v>
      </c>
    </row>
    <row r="180" spans="1:39" ht="15" customHeight="1" thickBot="1">
      <c r="A180" s="170" t="s">
        <v>328</v>
      </c>
      <c r="B180" s="169" t="s">
        <v>327</v>
      </c>
      <c r="C180" s="168" t="s">
        <v>133</v>
      </c>
      <c r="D180" s="168">
        <v>1</v>
      </c>
      <c r="E180" s="167" t="str">
        <f ca="1">_xll.DBRA("mfc:skz",B180,"Group")</f>
        <v>CAPEX</v>
      </c>
      <c r="F180" s="75" t="s">
        <v>39</v>
      </c>
      <c r="G180" s="166" t="e">
        <f ca="1">_xll.DBRW($A$1,$C180,$B180,G$3,G$1,G$2,$A180)*$D180</f>
        <v>#VALUE!</v>
      </c>
      <c r="H180" s="74" t="e">
        <f ca="1">_xll.DBRW($A$1,$C180,$B180,H$3,H$1,H$2,$A180)*$D180</f>
        <v>#VALUE!</v>
      </c>
      <c r="I180" s="74" t="e">
        <f t="shared" ca="1" si="88"/>
        <v>#VALUE!</v>
      </c>
      <c r="J180" s="166" t="e">
        <f ca="1">_xll.DBRW($A$1,$C180,$B180,J$3,J$1,J$2,$A180)*$D180</f>
        <v>#VALUE!</v>
      </c>
      <c r="K180" s="74" t="e">
        <f ca="1">_xll.DBRW($A$1,$C180,$B180,K$3,K$1,K$2,$A180)*$D180</f>
        <v>#VALUE!</v>
      </c>
      <c r="L180" s="74" t="e">
        <f t="shared" ca="1" si="89"/>
        <v>#VALUE!</v>
      </c>
      <c r="M180" s="166" t="e">
        <f ca="1">_xll.DBRW($A$1,$C180,$B180,M$3,M$1,M$2,$A180)*$D180</f>
        <v>#VALUE!</v>
      </c>
      <c r="N180" s="74" t="e">
        <f ca="1">_xll.DBRW($A$1,$C180,$B180,N$3,N$1,N$2,$A180)*$D180</f>
        <v>#VALUE!</v>
      </c>
      <c r="O180" s="74" t="e">
        <f t="shared" ca="1" si="90"/>
        <v>#VALUE!</v>
      </c>
      <c r="P180" s="166" t="e">
        <f ca="1">_xll.DBRW($A$1,$C180,$B180,P$3,P$1,P$2,$A180)*$D180</f>
        <v>#VALUE!</v>
      </c>
      <c r="Q180" s="74" t="e">
        <f ca="1">_xll.DBRW($A$1,$C180,$B180,Q$3,Q$1,Q$2,$A180)*$D180</f>
        <v>#VALUE!</v>
      </c>
      <c r="R180" s="74" t="e">
        <f t="shared" ca="1" si="91"/>
        <v>#VALUE!</v>
      </c>
      <c r="S180" s="166" t="e">
        <f ca="1">_xll.DBRW($A$1,$C180,$B180,S$3,S$1,S$2,$A180)*$D180</f>
        <v>#VALUE!</v>
      </c>
      <c r="T180" s="74" t="e">
        <f ca="1">_xll.DBRW($A$1,$C180,$B180,T$3,T$1,T$2,$A180)*$D180</f>
        <v>#VALUE!</v>
      </c>
      <c r="U180" s="74" t="e">
        <f t="shared" ca="1" si="92"/>
        <v>#VALUE!</v>
      </c>
      <c r="V180" s="166" t="e">
        <f ca="1">_xll.DBRW($A$1,$C180,$B180,V$3,V$1,V$2,$A180)*$D180</f>
        <v>#VALUE!</v>
      </c>
      <c r="W180" s="74" t="e">
        <f ca="1">_xll.DBRW($A$1,$C180,$B180,W$3,W$1,W$2,$A180)*$D180</f>
        <v>#VALUE!</v>
      </c>
      <c r="X180" s="74" t="e">
        <f t="shared" ca="1" si="93"/>
        <v>#VALUE!</v>
      </c>
      <c r="Y180" s="166" t="e">
        <f ca="1">_xll.DBRW($A$1,$C180,$B180,Y$3,Y$1,Y$2,$A180)*$D180</f>
        <v>#VALUE!</v>
      </c>
      <c r="Z180" s="74" t="e">
        <f ca="1">_xll.DBRW($A$1,$C180,$B180,Z$3,Z$1,Z$2,$A180)*$D180</f>
        <v>#VALUE!</v>
      </c>
      <c r="AA180" s="74" t="e">
        <f t="shared" ca="1" si="94"/>
        <v>#VALUE!</v>
      </c>
      <c r="AB180" s="166" t="e">
        <f ca="1">_xll.DBRW($A$1,$C180,$B180,AB$3,AB$1,AB$2,$A180)*$D180</f>
        <v>#VALUE!</v>
      </c>
      <c r="AC180" s="74" t="e">
        <f ca="1">_xll.DBRW($A$1,$C180,$B180,AC$3,AC$1,AC$2,$A180)*$D180</f>
        <v>#VALUE!</v>
      </c>
      <c r="AD180" s="74" t="e">
        <f t="shared" ca="1" si="95"/>
        <v>#VALUE!</v>
      </c>
      <c r="AE180" s="166" t="e">
        <f ca="1">_xll.DBRW($A$1,$C180,$B180,AE$3,AE$1,AE$2,$A180)*$D180</f>
        <v>#VALUE!</v>
      </c>
      <c r="AF180" s="74" t="e">
        <f ca="1">_xll.DBRW($A$1,$C180,$B180,AF$3,AF$1,AF$2,$A180)*$D180</f>
        <v>#VALUE!</v>
      </c>
      <c r="AG180" s="74" t="e">
        <f t="shared" ca="1" si="96"/>
        <v>#VALUE!</v>
      </c>
      <c r="AH180" s="166" t="e">
        <f ca="1">_xll.DBRW($A$1,$C180,$B180,AH$3,AH$1,AH$2,$A180)*$D180</f>
        <v>#VALUE!</v>
      </c>
      <c r="AI180" s="74" t="e">
        <f ca="1">_xll.DBRW($A$1,$C180,$B180,AI$3,AI$1,AI$2,$A180)*$D180</f>
        <v>#VALUE!</v>
      </c>
      <c r="AJ180" s="74" t="e">
        <f t="shared" ca="1" si="97"/>
        <v>#VALUE!</v>
      </c>
      <c r="AK180" s="166" t="e">
        <f ca="1">_xll.DBRW($A$1,$C180,$B180,AK$3,AK$1,AK$2,$A180)*$D180</f>
        <v>#VALUE!</v>
      </c>
      <c r="AL180" s="74" t="e">
        <f ca="1">_xll.DBRW($A$1,$C180,$B180,AL$3,AL$1,AL$2,$A180)*$D180</f>
        <v>#VALUE!</v>
      </c>
      <c r="AM180" s="74" t="e">
        <f t="shared" ca="1" si="98"/>
        <v>#VALUE!</v>
      </c>
    </row>
    <row r="181" spans="1:39" ht="15" customHeight="1" thickTop="1">
      <c r="A181" s="170"/>
      <c r="B181" s="169"/>
      <c r="C181" s="168"/>
      <c r="D181" s="168"/>
      <c r="E181" s="167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</row>
    <row r="182" spans="1:39" ht="15" customHeight="1">
      <c r="A182" s="170"/>
      <c r="B182" s="169"/>
      <c r="C182" s="168"/>
      <c r="D182" s="168"/>
      <c r="E182" s="167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</row>
    <row r="183" spans="1:39" ht="15" customHeight="1">
      <c r="A183" s="170"/>
      <c r="B183" s="169"/>
      <c r="C183" s="168"/>
      <c r="D183" s="168"/>
      <c r="E183" s="167"/>
      <c r="F183" s="1" t="s">
        <v>135</v>
      </c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</row>
    <row r="184" spans="1:39" ht="15" customHeight="1" thickBot="1">
      <c r="A184" s="170"/>
      <c r="B184" s="169"/>
      <c r="C184" s="168"/>
      <c r="D184" s="168"/>
      <c r="E184" s="167"/>
      <c r="F184" s="13" t="s">
        <v>287</v>
      </c>
      <c r="G184" s="172"/>
      <c r="H184" s="9"/>
      <c r="I184" s="9"/>
      <c r="J184" s="172"/>
      <c r="K184" s="9"/>
      <c r="L184" s="9"/>
      <c r="M184" s="172"/>
      <c r="N184" s="9"/>
      <c r="O184" s="9"/>
      <c r="P184" s="172"/>
      <c r="Q184" s="9"/>
      <c r="R184" s="9"/>
      <c r="S184" s="172"/>
      <c r="T184" s="9"/>
      <c r="U184" s="9"/>
      <c r="V184" s="172"/>
      <c r="W184" s="9"/>
      <c r="X184" s="9"/>
      <c r="Y184" s="172"/>
      <c r="Z184" s="9"/>
      <c r="AA184" s="9"/>
      <c r="AB184" s="172"/>
      <c r="AC184" s="9"/>
      <c r="AD184" s="9"/>
      <c r="AE184" s="172"/>
      <c r="AF184" s="9"/>
      <c r="AG184" s="9"/>
      <c r="AH184" s="172"/>
      <c r="AI184" s="9"/>
      <c r="AJ184" s="9"/>
      <c r="AK184" s="172"/>
      <c r="AL184" s="9"/>
      <c r="AM184" s="9"/>
    </row>
    <row r="185" spans="1:39" ht="15" customHeight="1" thickTop="1">
      <c r="A185" s="170" t="s">
        <v>325</v>
      </c>
      <c r="B185" s="169" t="s">
        <v>326</v>
      </c>
      <c r="C185" s="168" t="s">
        <v>133</v>
      </c>
      <c r="D185" s="168">
        <v>1</v>
      </c>
      <c r="E185" s="167" t="str">
        <f ca="1">_xll.DBRA("mfc:skz",B185,"Group")</f>
        <v>EBITD</v>
      </c>
      <c r="F185" s="4" t="s">
        <v>286</v>
      </c>
      <c r="G185" s="171" t="e">
        <f ca="1">_xll.DBRW($A$1,$C185,$B185,G$3,G$1,G$2,$A185)*$D185</f>
        <v>#VALUE!</v>
      </c>
      <c r="H185" s="14" t="e">
        <f ca="1">_xll.DBRW($A$1,$C185,$B185,H$3,H$1,H$2,$A185)*$D185</f>
        <v>#VALUE!</v>
      </c>
      <c r="I185" s="14" t="e">
        <f t="shared" ref="I185:I191" ca="1" si="99">+G185-H185</f>
        <v>#VALUE!</v>
      </c>
      <c r="J185" s="171" t="e">
        <f ca="1">_xll.DBRW($A$1,$C185,$B185,J$3,J$1,J$2,$A185)*$D185</f>
        <v>#VALUE!</v>
      </c>
      <c r="K185" s="14" t="e">
        <f ca="1">_xll.DBRW($A$1,$C185,$B185,K$3,K$1,K$2,$A185)*$D185</f>
        <v>#VALUE!</v>
      </c>
      <c r="L185" s="14" t="e">
        <f t="shared" ref="L185:L191" ca="1" si="100">+J185-K185</f>
        <v>#VALUE!</v>
      </c>
      <c r="M185" s="171" t="e">
        <f ca="1">_xll.DBRW($A$1,$C185,$B185,M$3,M$1,M$2,$A185)*$D185</f>
        <v>#VALUE!</v>
      </c>
      <c r="N185" s="14" t="e">
        <f ca="1">_xll.DBRW($A$1,$C185,$B185,N$3,N$1,N$2,$A185)*$D185</f>
        <v>#VALUE!</v>
      </c>
      <c r="O185" s="14" t="e">
        <f t="shared" ref="O185:O191" ca="1" si="101">+M185-N185</f>
        <v>#VALUE!</v>
      </c>
      <c r="P185" s="171" t="e">
        <f ca="1">_xll.DBRW($A$1,$C185,$B185,P$3,P$1,P$2,$A185)*$D185</f>
        <v>#VALUE!</v>
      </c>
      <c r="Q185" s="14" t="e">
        <f ca="1">_xll.DBRW($A$1,$C185,$B185,Q$3,Q$1,Q$2,$A185)*$D185</f>
        <v>#VALUE!</v>
      </c>
      <c r="R185" s="14" t="e">
        <f t="shared" ref="R185:R191" ca="1" si="102">+P185-Q185</f>
        <v>#VALUE!</v>
      </c>
      <c r="S185" s="171" t="e">
        <f ca="1">_xll.DBRW($A$1,$C185,$B185,S$3,S$1,S$2,$A185)*$D185</f>
        <v>#VALUE!</v>
      </c>
      <c r="T185" s="14" t="e">
        <f ca="1">_xll.DBRW($A$1,$C185,$B185,T$3,T$1,T$2,$A185)*$D185</f>
        <v>#VALUE!</v>
      </c>
      <c r="U185" s="14" t="e">
        <f t="shared" ref="U185:U191" ca="1" si="103">+S185-T185</f>
        <v>#VALUE!</v>
      </c>
      <c r="V185" s="171" t="e">
        <f ca="1">_xll.DBRW($A$1,$C185,$B185,V$3,V$1,V$2,$A185)*$D185</f>
        <v>#VALUE!</v>
      </c>
      <c r="W185" s="14" t="e">
        <f ca="1">_xll.DBRW($A$1,$C185,$B185,W$3,W$1,W$2,$A185)*$D185</f>
        <v>#VALUE!</v>
      </c>
      <c r="X185" s="14" t="e">
        <f t="shared" ref="X185:X191" ca="1" si="104">+V185-W185</f>
        <v>#VALUE!</v>
      </c>
      <c r="Y185" s="171" t="e">
        <f ca="1">_xll.DBRW($A$1,$C185,$B185,Y$3,Y$1,Y$2,$A185)*$D185</f>
        <v>#VALUE!</v>
      </c>
      <c r="Z185" s="14" t="e">
        <f ca="1">_xll.DBRW($A$1,$C185,$B185,Z$3,Z$1,Z$2,$A185)*$D185</f>
        <v>#VALUE!</v>
      </c>
      <c r="AA185" s="14" t="e">
        <f t="shared" ref="AA185:AA191" ca="1" si="105">+Y185-Z185</f>
        <v>#VALUE!</v>
      </c>
      <c r="AB185" s="171" t="e">
        <f ca="1">_xll.DBRW($A$1,$C185,$B185,AB$3,AB$1,AB$2,$A185)*$D185</f>
        <v>#VALUE!</v>
      </c>
      <c r="AC185" s="14" t="e">
        <f ca="1">_xll.DBRW($A$1,$C185,$B185,AC$3,AC$1,AC$2,$A185)*$D185</f>
        <v>#VALUE!</v>
      </c>
      <c r="AD185" s="14" t="e">
        <f t="shared" ref="AD185:AD191" ca="1" si="106">+AB185-AC185</f>
        <v>#VALUE!</v>
      </c>
      <c r="AE185" s="171" t="e">
        <f ca="1">_xll.DBRW($A$1,$C185,$B185,AE$3,AE$1,AE$2,$A185)*$D185</f>
        <v>#VALUE!</v>
      </c>
      <c r="AF185" s="14" t="e">
        <f ca="1">_xll.DBRW($A$1,$C185,$B185,AF$3,AF$1,AF$2,$A185)*$D185</f>
        <v>#VALUE!</v>
      </c>
      <c r="AG185" s="14" t="e">
        <f t="shared" ref="AG185:AG191" ca="1" si="107">+AE185-AF185</f>
        <v>#VALUE!</v>
      </c>
      <c r="AH185" s="171" t="e">
        <f ca="1">_xll.DBRW($A$1,$C185,$B185,AH$3,AH$1,AH$2,$A185)*$D185</f>
        <v>#VALUE!</v>
      </c>
      <c r="AI185" s="14" t="e">
        <f ca="1">_xll.DBRW($A$1,$C185,$B185,AI$3,AI$1,AI$2,$A185)*$D185</f>
        <v>#VALUE!</v>
      </c>
      <c r="AJ185" s="14" t="e">
        <f t="shared" ref="AJ185:AJ191" ca="1" si="108">+AH185-AI185</f>
        <v>#VALUE!</v>
      </c>
      <c r="AK185" s="171" t="e">
        <f ca="1">_xll.DBRW($A$1,$C185,$B185,AK$3,AK$1,AK$2,$A185)*$D185</f>
        <v>#VALUE!</v>
      </c>
      <c r="AL185" s="14" t="e">
        <f ca="1">_xll.DBRW($A$1,$C185,$B185,AL$3,AL$1,AL$2,$A185)*$D185</f>
        <v>#VALUE!</v>
      </c>
      <c r="AM185" s="14" t="e">
        <f t="shared" ref="AM185:AM191" ca="1" si="109">+AK185-AL185</f>
        <v>#VALUE!</v>
      </c>
    </row>
    <row r="186" spans="1:39" ht="15" customHeight="1">
      <c r="A186" s="170" t="s">
        <v>324</v>
      </c>
      <c r="B186" s="169" t="s">
        <v>326</v>
      </c>
      <c r="C186" s="168" t="s">
        <v>133</v>
      </c>
      <c r="D186" s="168">
        <v>1</v>
      </c>
      <c r="E186" s="167" t="str">
        <f ca="1">_xll.DBRA("mfc:skz",B186,"Group")</f>
        <v>EBITD</v>
      </c>
      <c r="F186" s="177" t="s">
        <v>188</v>
      </c>
      <c r="G186" s="171" t="e">
        <f ca="1">_xll.DBRW($A$1,$C186,$B186,G$3,G$1,G$2,$A186)*$D186</f>
        <v>#VALUE!</v>
      </c>
      <c r="H186" s="14" t="e">
        <f ca="1">_xll.DBRW($A$1,$C186,$B186,H$3,H$1,H$2,$A186)*$D186</f>
        <v>#VALUE!</v>
      </c>
      <c r="I186" s="14" t="e">
        <f t="shared" ca="1" si="99"/>
        <v>#VALUE!</v>
      </c>
      <c r="J186" s="171" t="e">
        <f ca="1">_xll.DBRW($A$1,$C186,$B186,J$3,J$1,J$2,$A186)*$D186</f>
        <v>#VALUE!</v>
      </c>
      <c r="K186" s="14" t="e">
        <f ca="1">_xll.DBRW($A$1,$C186,$B186,K$3,K$1,K$2,$A186)*$D186</f>
        <v>#VALUE!</v>
      </c>
      <c r="L186" s="14" t="e">
        <f t="shared" ca="1" si="100"/>
        <v>#VALUE!</v>
      </c>
      <c r="M186" s="171" t="e">
        <f ca="1">_xll.DBRW($A$1,$C186,$B186,M$3,M$1,M$2,$A186)*$D186</f>
        <v>#VALUE!</v>
      </c>
      <c r="N186" s="14" t="e">
        <f ca="1">_xll.DBRW($A$1,$C186,$B186,N$3,N$1,N$2,$A186)*$D186</f>
        <v>#VALUE!</v>
      </c>
      <c r="O186" s="14" t="e">
        <f t="shared" ca="1" si="101"/>
        <v>#VALUE!</v>
      </c>
      <c r="P186" s="171" t="e">
        <f ca="1">_xll.DBRW($A$1,$C186,$B186,P$3,P$1,P$2,$A186)*$D186</f>
        <v>#VALUE!</v>
      </c>
      <c r="Q186" s="14" t="e">
        <f ca="1">_xll.DBRW($A$1,$C186,$B186,Q$3,Q$1,Q$2,$A186)*$D186</f>
        <v>#VALUE!</v>
      </c>
      <c r="R186" s="14" t="e">
        <f t="shared" ca="1" si="102"/>
        <v>#VALUE!</v>
      </c>
      <c r="S186" s="171" t="e">
        <f ca="1">_xll.DBRW($A$1,$C186,$B186,S$3,S$1,S$2,$A186)*$D186</f>
        <v>#VALUE!</v>
      </c>
      <c r="T186" s="14" t="e">
        <f ca="1">_xll.DBRW($A$1,$C186,$B186,T$3,T$1,T$2,$A186)*$D186</f>
        <v>#VALUE!</v>
      </c>
      <c r="U186" s="14" t="e">
        <f t="shared" ca="1" si="103"/>
        <v>#VALUE!</v>
      </c>
      <c r="V186" s="171" t="e">
        <f ca="1">_xll.DBRW($A$1,$C186,$B186,V$3,V$1,V$2,$A186)*$D186</f>
        <v>#VALUE!</v>
      </c>
      <c r="W186" s="14" t="e">
        <f ca="1">_xll.DBRW($A$1,$C186,$B186,W$3,W$1,W$2,$A186)*$D186</f>
        <v>#VALUE!</v>
      </c>
      <c r="X186" s="14" t="e">
        <f t="shared" ca="1" si="104"/>
        <v>#VALUE!</v>
      </c>
      <c r="Y186" s="171" t="e">
        <f ca="1">_xll.DBRW($A$1,$C186,$B186,Y$3,Y$1,Y$2,$A186)*$D186</f>
        <v>#VALUE!</v>
      </c>
      <c r="Z186" s="14" t="e">
        <f ca="1">_xll.DBRW($A$1,$C186,$B186,Z$3,Z$1,Z$2,$A186)*$D186</f>
        <v>#VALUE!</v>
      </c>
      <c r="AA186" s="14" t="e">
        <f t="shared" ca="1" si="105"/>
        <v>#VALUE!</v>
      </c>
      <c r="AB186" s="171" t="e">
        <f ca="1">_xll.DBRW($A$1,$C186,$B186,AB$3,AB$1,AB$2,$A186)*$D186</f>
        <v>#VALUE!</v>
      </c>
      <c r="AC186" s="14" t="e">
        <f ca="1">_xll.DBRW($A$1,$C186,$B186,AC$3,AC$1,AC$2,$A186)*$D186</f>
        <v>#VALUE!</v>
      </c>
      <c r="AD186" s="14" t="e">
        <f t="shared" ca="1" si="106"/>
        <v>#VALUE!</v>
      </c>
      <c r="AE186" s="171" t="e">
        <f ca="1">_xll.DBRW($A$1,$C186,$B186,AE$3,AE$1,AE$2,$A186)*$D186</f>
        <v>#VALUE!</v>
      </c>
      <c r="AF186" s="14" t="e">
        <f ca="1">_xll.DBRW($A$1,$C186,$B186,AF$3,AF$1,AF$2,$A186)*$D186</f>
        <v>#VALUE!</v>
      </c>
      <c r="AG186" s="14" t="e">
        <f t="shared" ca="1" si="107"/>
        <v>#VALUE!</v>
      </c>
      <c r="AH186" s="171" t="e">
        <f ca="1">_xll.DBRW($A$1,$C186,$B186,AH$3,AH$1,AH$2,$A186)*$D186</f>
        <v>#VALUE!</v>
      </c>
      <c r="AI186" s="14" t="e">
        <f ca="1">_xll.DBRW($A$1,$C186,$B186,AI$3,AI$1,AI$2,$A186)*$D186</f>
        <v>#VALUE!</v>
      </c>
      <c r="AJ186" s="14" t="e">
        <f t="shared" ca="1" si="108"/>
        <v>#VALUE!</v>
      </c>
      <c r="AK186" s="171" t="e">
        <f ca="1">_xll.DBRW($A$1,$C186,$B186,AK$3,AK$1,AK$2,$A186)*$D186</f>
        <v>#VALUE!</v>
      </c>
      <c r="AL186" s="14" t="e">
        <f ca="1">_xll.DBRW($A$1,$C186,$B186,AL$3,AL$1,AL$2,$A186)*$D186</f>
        <v>#VALUE!</v>
      </c>
      <c r="AM186" s="14" t="e">
        <f t="shared" ca="1" si="109"/>
        <v>#VALUE!</v>
      </c>
    </row>
    <row r="187" spans="1:39" ht="15" customHeight="1">
      <c r="A187" s="170" t="s">
        <v>323</v>
      </c>
      <c r="B187" s="169" t="s">
        <v>326</v>
      </c>
      <c r="C187" s="168" t="s">
        <v>133</v>
      </c>
      <c r="D187" s="168">
        <v>1</v>
      </c>
      <c r="E187" s="167" t="str">
        <f ca="1">_xll.DBRA("mfc:skz",B187,"Group")</f>
        <v>EBITD</v>
      </c>
      <c r="F187" s="176" t="s">
        <v>190</v>
      </c>
      <c r="G187" s="171" t="e">
        <f ca="1">_xll.DBRW($A$1,$C187,$B187,G$3,G$1,G$2,$A187)*$D187</f>
        <v>#VALUE!</v>
      </c>
      <c r="H187" s="14" t="e">
        <f ca="1">_xll.DBRW($A$1,$C187,$B187,H$3,H$1,H$2,$A187)*$D187</f>
        <v>#VALUE!</v>
      </c>
      <c r="I187" s="14" t="e">
        <f t="shared" ca="1" si="99"/>
        <v>#VALUE!</v>
      </c>
      <c r="J187" s="171" t="e">
        <f ca="1">_xll.DBRW($A$1,$C187,$B187,J$3,J$1,J$2,$A187)*$D187</f>
        <v>#VALUE!</v>
      </c>
      <c r="K187" s="14" t="e">
        <f ca="1">_xll.DBRW($A$1,$C187,$B187,K$3,K$1,K$2,$A187)*$D187</f>
        <v>#VALUE!</v>
      </c>
      <c r="L187" s="14" t="e">
        <f t="shared" ca="1" si="100"/>
        <v>#VALUE!</v>
      </c>
      <c r="M187" s="171" t="e">
        <f ca="1">_xll.DBRW($A$1,$C187,$B187,M$3,M$1,M$2,$A187)*$D187</f>
        <v>#VALUE!</v>
      </c>
      <c r="N187" s="14" t="e">
        <f ca="1">_xll.DBRW($A$1,$C187,$B187,N$3,N$1,N$2,$A187)*$D187</f>
        <v>#VALUE!</v>
      </c>
      <c r="O187" s="14" t="e">
        <f t="shared" ca="1" si="101"/>
        <v>#VALUE!</v>
      </c>
      <c r="P187" s="171" t="e">
        <f ca="1">_xll.DBRW($A$1,$C187,$B187,P$3,P$1,P$2,$A187)*$D187</f>
        <v>#VALUE!</v>
      </c>
      <c r="Q187" s="14" t="e">
        <f ca="1">_xll.DBRW($A$1,$C187,$B187,Q$3,Q$1,Q$2,$A187)*$D187</f>
        <v>#VALUE!</v>
      </c>
      <c r="R187" s="14" t="e">
        <f t="shared" ca="1" si="102"/>
        <v>#VALUE!</v>
      </c>
      <c r="S187" s="171" t="e">
        <f ca="1">_xll.DBRW($A$1,$C187,$B187,S$3,S$1,S$2,$A187)*$D187</f>
        <v>#VALUE!</v>
      </c>
      <c r="T187" s="14" t="e">
        <f ca="1">_xll.DBRW($A$1,$C187,$B187,T$3,T$1,T$2,$A187)*$D187</f>
        <v>#VALUE!</v>
      </c>
      <c r="U187" s="14" t="e">
        <f t="shared" ca="1" si="103"/>
        <v>#VALUE!</v>
      </c>
      <c r="V187" s="171" t="e">
        <f ca="1">_xll.DBRW($A$1,$C187,$B187,V$3,V$1,V$2,$A187)*$D187</f>
        <v>#VALUE!</v>
      </c>
      <c r="W187" s="14" t="e">
        <f ca="1">_xll.DBRW($A$1,$C187,$B187,W$3,W$1,W$2,$A187)*$D187</f>
        <v>#VALUE!</v>
      </c>
      <c r="X187" s="14" t="e">
        <f t="shared" ca="1" si="104"/>
        <v>#VALUE!</v>
      </c>
      <c r="Y187" s="171" t="e">
        <f ca="1">_xll.DBRW($A$1,$C187,$B187,Y$3,Y$1,Y$2,$A187)*$D187</f>
        <v>#VALUE!</v>
      </c>
      <c r="Z187" s="14" t="e">
        <f ca="1">_xll.DBRW($A$1,$C187,$B187,Z$3,Z$1,Z$2,$A187)*$D187</f>
        <v>#VALUE!</v>
      </c>
      <c r="AA187" s="14" t="e">
        <f t="shared" ca="1" si="105"/>
        <v>#VALUE!</v>
      </c>
      <c r="AB187" s="171" t="e">
        <f ca="1">_xll.DBRW($A$1,$C187,$B187,AB$3,AB$1,AB$2,$A187)*$D187</f>
        <v>#VALUE!</v>
      </c>
      <c r="AC187" s="14" t="e">
        <f ca="1">_xll.DBRW($A$1,$C187,$B187,AC$3,AC$1,AC$2,$A187)*$D187</f>
        <v>#VALUE!</v>
      </c>
      <c r="AD187" s="14" t="e">
        <f t="shared" ca="1" si="106"/>
        <v>#VALUE!</v>
      </c>
      <c r="AE187" s="171" t="e">
        <f ca="1">_xll.DBRW($A$1,$C187,$B187,AE$3,AE$1,AE$2,$A187)*$D187</f>
        <v>#VALUE!</v>
      </c>
      <c r="AF187" s="14" t="e">
        <f ca="1">_xll.DBRW($A$1,$C187,$B187,AF$3,AF$1,AF$2,$A187)*$D187</f>
        <v>#VALUE!</v>
      </c>
      <c r="AG187" s="14" t="e">
        <f t="shared" ca="1" si="107"/>
        <v>#VALUE!</v>
      </c>
      <c r="AH187" s="171" t="e">
        <f ca="1">_xll.DBRW($A$1,$C187,$B187,AH$3,AH$1,AH$2,$A187)*$D187</f>
        <v>#VALUE!</v>
      </c>
      <c r="AI187" s="14" t="e">
        <f ca="1">_xll.DBRW($A$1,$C187,$B187,AI$3,AI$1,AI$2,$A187)*$D187</f>
        <v>#VALUE!</v>
      </c>
      <c r="AJ187" s="14" t="e">
        <f t="shared" ca="1" si="108"/>
        <v>#VALUE!</v>
      </c>
      <c r="AK187" s="171" t="e">
        <f ca="1">_xll.DBRW($A$1,$C187,$B187,AK$3,AK$1,AK$2,$A187)*$D187</f>
        <v>#VALUE!</v>
      </c>
      <c r="AL187" s="14" t="e">
        <f ca="1">_xll.DBRW($A$1,$C187,$B187,AL$3,AL$1,AL$2,$A187)*$D187</f>
        <v>#VALUE!</v>
      </c>
      <c r="AM187" s="14" t="e">
        <f t="shared" ca="1" si="109"/>
        <v>#VALUE!</v>
      </c>
    </row>
    <row r="188" spans="1:39" ht="15" customHeight="1">
      <c r="A188" s="170" t="s">
        <v>322</v>
      </c>
      <c r="B188" s="169" t="s">
        <v>326</v>
      </c>
      <c r="C188" s="168" t="s">
        <v>133</v>
      </c>
      <c r="D188" s="168">
        <v>1</v>
      </c>
      <c r="E188" s="167" t="str">
        <f ca="1">_xll.DBRA("mfc:skz",B188,"Group")</f>
        <v>EBITD</v>
      </c>
      <c r="F188" s="176" t="s">
        <v>191</v>
      </c>
      <c r="G188" s="171" t="e">
        <f ca="1">_xll.DBRW($A$1,$C188,$B188,G$3,G$1,G$2,$A188)*$D188</f>
        <v>#VALUE!</v>
      </c>
      <c r="H188" s="14" t="e">
        <f ca="1">_xll.DBRW($A$1,$C188,$B188,H$3,H$1,H$2,$A188)*$D188</f>
        <v>#VALUE!</v>
      </c>
      <c r="I188" s="14" t="e">
        <f t="shared" ca="1" si="99"/>
        <v>#VALUE!</v>
      </c>
      <c r="J188" s="171" t="e">
        <f ca="1">_xll.DBRW($A$1,$C188,$B188,J$3,J$1,J$2,$A188)*$D188</f>
        <v>#VALUE!</v>
      </c>
      <c r="K188" s="14" t="e">
        <f ca="1">_xll.DBRW($A$1,$C188,$B188,K$3,K$1,K$2,$A188)*$D188</f>
        <v>#VALUE!</v>
      </c>
      <c r="L188" s="14" t="e">
        <f t="shared" ca="1" si="100"/>
        <v>#VALUE!</v>
      </c>
      <c r="M188" s="171" t="e">
        <f ca="1">_xll.DBRW($A$1,$C188,$B188,M$3,M$1,M$2,$A188)*$D188</f>
        <v>#VALUE!</v>
      </c>
      <c r="N188" s="14" t="e">
        <f ca="1">_xll.DBRW($A$1,$C188,$B188,N$3,N$1,N$2,$A188)*$D188</f>
        <v>#VALUE!</v>
      </c>
      <c r="O188" s="14" t="e">
        <f t="shared" ca="1" si="101"/>
        <v>#VALUE!</v>
      </c>
      <c r="P188" s="171" t="e">
        <f ca="1">_xll.DBRW($A$1,$C188,$B188,P$3,P$1,P$2,$A188)*$D188</f>
        <v>#VALUE!</v>
      </c>
      <c r="Q188" s="14" t="e">
        <f ca="1">_xll.DBRW($A$1,$C188,$B188,Q$3,Q$1,Q$2,$A188)*$D188</f>
        <v>#VALUE!</v>
      </c>
      <c r="R188" s="14" t="e">
        <f t="shared" ca="1" si="102"/>
        <v>#VALUE!</v>
      </c>
      <c r="S188" s="171" t="e">
        <f ca="1">_xll.DBRW($A$1,$C188,$B188,S$3,S$1,S$2,$A188)*$D188</f>
        <v>#VALUE!</v>
      </c>
      <c r="T188" s="14" t="e">
        <f ca="1">_xll.DBRW($A$1,$C188,$B188,T$3,T$1,T$2,$A188)*$D188</f>
        <v>#VALUE!</v>
      </c>
      <c r="U188" s="14" t="e">
        <f t="shared" ca="1" si="103"/>
        <v>#VALUE!</v>
      </c>
      <c r="V188" s="171" t="e">
        <f ca="1">_xll.DBRW($A$1,$C188,$B188,V$3,V$1,V$2,$A188)*$D188</f>
        <v>#VALUE!</v>
      </c>
      <c r="W188" s="14" t="e">
        <f ca="1">_xll.DBRW($A$1,$C188,$B188,W$3,W$1,W$2,$A188)*$D188</f>
        <v>#VALUE!</v>
      </c>
      <c r="X188" s="14" t="e">
        <f t="shared" ca="1" si="104"/>
        <v>#VALUE!</v>
      </c>
      <c r="Y188" s="171" t="e">
        <f ca="1">_xll.DBRW($A$1,$C188,$B188,Y$3,Y$1,Y$2,$A188)*$D188</f>
        <v>#VALUE!</v>
      </c>
      <c r="Z188" s="14" t="e">
        <f ca="1">_xll.DBRW($A$1,$C188,$B188,Z$3,Z$1,Z$2,$A188)*$D188</f>
        <v>#VALUE!</v>
      </c>
      <c r="AA188" s="14" t="e">
        <f t="shared" ca="1" si="105"/>
        <v>#VALUE!</v>
      </c>
      <c r="AB188" s="171" t="e">
        <f ca="1">_xll.DBRW($A$1,$C188,$B188,AB$3,AB$1,AB$2,$A188)*$D188</f>
        <v>#VALUE!</v>
      </c>
      <c r="AC188" s="14" t="e">
        <f ca="1">_xll.DBRW($A$1,$C188,$B188,AC$3,AC$1,AC$2,$A188)*$D188</f>
        <v>#VALUE!</v>
      </c>
      <c r="AD188" s="14" t="e">
        <f t="shared" ca="1" si="106"/>
        <v>#VALUE!</v>
      </c>
      <c r="AE188" s="171" t="e">
        <f ca="1">_xll.DBRW($A$1,$C188,$B188,AE$3,AE$1,AE$2,$A188)*$D188</f>
        <v>#VALUE!</v>
      </c>
      <c r="AF188" s="14" t="e">
        <f ca="1">_xll.DBRW($A$1,$C188,$B188,AF$3,AF$1,AF$2,$A188)*$D188</f>
        <v>#VALUE!</v>
      </c>
      <c r="AG188" s="14" t="e">
        <f t="shared" ca="1" si="107"/>
        <v>#VALUE!</v>
      </c>
      <c r="AH188" s="171" t="e">
        <f ca="1">_xll.DBRW($A$1,$C188,$B188,AH$3,AH$1,AH$2,$A188)*$D188</f>
        <v>#VALUE!</v>
      </c>
      <c r="AI188" s="14" t="e">
        <f ca="1">_xll.DBRW($A$1,$C188,$B188,AI$3,AI$1,AI$2,$A188)*$D188</f>
        <v>#VALUE!</v>
      </c>
      <c r="AJ188" s="14" t="e">
        <f t="shared" ca="1" si="108"/>
        <v>#VALUE!</v>
      </c>
      <c r="AK188" s="171" t="e">
        <f ca="1">_xll.DBRW($A$1,$C188,$B188,AK$3,AK$1,AK$2,$A188)*$D188</f>
        <v>#VALUE!</v>
      </c>
      <c r="AL188" s="14" t="e">
        <f ca="1">_xll.DBRW($A$1,$C188,$B188,AL$3,AL$1,AL$2,$A188)*$D188</f>
        <v>#VALUE!</v>
      </c>
      <c r="AM188" s="14" t="e">
        <f t="shared" ca="1" si="109"/>
        <v>#VALUE!</v>
      </c>
    </row>
    <row r="189" spans="1:39" ht="15" customHeight="1">
      <c r="A189" s="170" t="s">
        <v>321</v>
      </c>
      <c r="B189" s="169" t="s">
        <v>326</v>
      </c>
      <c r="C189" s="168" t="s">
        <v>133</v>
      </c>
      <c r="D189" s="168">
        <v>1</v>
      </c>
      <c r="E189" s="167" t="str">
        <f ca="1">_xll.DBRA("mfc:skz",B189,"Group")</f>
        <v>EBITD</v>
      </c>
      <c r="F189" s="4" t="s">
        <v>38</v>
      </c>
      <c r="G189" s="171" t="e">
        <f ca="1">_xll.DBRW($A$1,$C189,$B189,G$3,G$1,G$2,$A189)*$D189</f>
        <v>#VALUE!</v>
      </c>
      <c r="H189" s="14" t="e">
        <f ca="1">_xll.DBRW($A$1,$C189,$B189,H$3,H$1,H$2,$A189)*$D189</f>
        <v>#VALUE!</v>
      </c>
      <c r="I189" s="14" t="e">
        <f t="shared" ca="1" si="99"/>
        <v>#VALUE!</v>
      </c>
      <c r="J189" s="171" t="e">
        <f ca="1">_xll.DBRW($A$1,$C189,$B189,J$3,J$1,J$2,$A189)*$D189</f>
        <v>#VALUE!</v>
      </c>
      <c r="K189" s="14" t="e">
        <f ca="1">_xll.DBRW($A$1,$C189,$B189,K$3,K$1,K$2,$A189)*$D189</f>
        <v>#VALUE!</v>
      </c>
      <c r="L189" s="14" t="e">
        <f t="shared" ca="1" si="100"/>
        <v>#VALUE!</v>
      </c>
      <c r="M189" s="171" t="e">
        <f ca="1">_xll.DBRW($A$1,$C189,$B189,M$3,M$1,M$2,$A189)*$D189</f>
        <v>#VALUE!</v>
      </c>
      <c r="N189" s="14" t="e">
        <f ca="1">_xll.DBRW($A$1,$C189,$B189,N$3,N$1,N$2,$A189)*$D189</f>
        <v>#VALUE!</v>
      </c>
      <c r="O189" s="14" t="e">
        <f t="shared" ca="1" si="101"/>
        <v>#VALUE!</v>
      </c>
      <c r="P189" s="171" t="e">
        <f ca="1">_xll.DBRW($A$1,$C189,$B189,P$3,P$1,P$2,$A189)*$D189</f>
        <v>#VALUE!</v>
      </c>
      <c r="Q189" s="14" t="e">
        <f ca="1">_xll.DBRW($A$1,$C189,$B189,Q$3,Q$1,Q$2,$A189)*$D189</f>
        <v>#VALUE!</v>
      </c>
      <c r="R189" s="14" t="e">
        <f t="shared" ca="1" si="102"/>
        <v>#VALUE!</v>
      </c>
      <c r="S189" s="171" t="e">
        <f ca="1">_xll.DBRW($A$1,$C189,$B189,S$3,S$1,S$2,$A189)*$D189</f>
        <v>#VALUE!</v>
      </c>
      <c r="T189" s="14" t="e">
        <f ca="1">_xll.DBRW($A$1,$C189,$B189,T$3,T$1,T$2,$A189)*$D189</f>
        <v>#VALUE!</v>
      </c>
      <c r="U189" s="14" t="e">
        <f t="shared" ca="1" si="103"/>
        <v>#VALUE!</v>
      </c>
      <c r="V189" s="171" t="e">
        <f ca="1">_xll.DBRW($A$1,$C189,$B189,V$3,V$1,V$2,$A189)*$D189</f>
        <v>#VALUE!</v>
      </c>
      <c r="W189" s="14" t="e">
        <f ca="1">_xll.DBRW($A$1,$C189,$B189,W$3,W$1,W$2,$A189)*$D189</f>
        <v>#VALUE!</v>
      </c>
      <c r="X189" s="14" t="e">
        <f t="shared" ca="1" si="104"/>
        <v>#VALUE!</v>
      </c>
      <c r="Y189" s="171" t="e">
        <f ca="1">_xll.DBRW($A$1,$C189,$B189,Y$3,Y$1,Y$2,$A189)*$D189</f>
        <v>#VALUE!</v>
      </c>
      <c r="Z189" s="14" t="e">
        <f ca="1">_xll.DBRW($A$1,$C189,$B189,Z$3,Z$1,Z$2,$A189)*$D189</f>
        <v>#VALUE!</v>
      </c>
      <c r="AA189" s="14" t="e">
        <f t="shared" ca="1" si="105"/>
        <v>#VALUE!</v>
      </c>
      <c r="AB189" s="171" t="e">
        <f ca="1">_xll.DBRW($A$1,$C189,$B189,AB$3,AB$1,AB$2,$A189)*$D189</f>
        <v>#VALUE!</v>
      </c>
      <c r="AC189" s="14" t="e">
        <f ca="1">_xll.DBRW($A$1,$C189,$B189,AC$3,AC$1,AC$2,$A189)*$D189</f>
        <v>#VALUE!</v>
      </c>
      <c r="AD189" s="14" t="e">
        <f t="shared" ca="1" si="106"/>
        <v>#VALUE!</v>
      </c>
      <c r="AE189" s="171" t="e">
        <f ca="1">_xll.DBRW($A$1,$C189,$B189,AE$3,AE$1,AE$2,$A189)*$D189</f>
        <v>#VALUE!</v>
      </c>
      <c r="AF189" s="14" t="e">
        <f ca="1">_xll.DBRW($A$1,$C189,$B189,AF$3,AF$1,AF$2,$A189)*$D189</f>
        <v>#VALUE!</v>
      </c>
      <c r="AG189" s="14" t="e">
        <f t="shared" ca="1" si="107"/>
        <v>#VALUE!</v>
      </c>
      <c r="AH189" s="171" t="e">
        <f ca="1">_xll.DBRW($A$1,$C189,$B189,AH$3,AH$1,AH$2,$A189)*$D189</f>
        <v>#VALUE!</v>
      </c>
      <c r="AI189" s="14" t="e">
        <f ca="1">_xll.DBRW($A$1,$C189,$B189,AI$3,AI$1,AI$2,$A189)*$D189</f>
        <v>#VALUE!</v>
      </c>
      <c r="AJ189" s="14" t="e">
        <f t="shared" ca="1" si="108"/>
        <v>#VALUE!</v>
      </c>
      <c r="AK189" s="171" t="e">
        <f ca="1">_xll.DBRW($A$1,$C189,$B189,AK$3,AK$1,AK$2,$A189)*$D189</f>
        <v>#VALUE!</v>
      </c>
      <c r="AL189" s="14" t="e">
        <f ca="1">_xll.DBRW($A$1,$C189,$B189,AL$3,AL$1,AL$2,$A189)*$D189</f>
        <v>#VALUE!</v>
      </c>
      <c r="AM189" s="14" t="e">
        <f t="shared" ca="1" si="109"/>
        <v>#VALUE!</v>
      </c>
    </row>
    <row r="190" spans="1:39" ht="15" customHeight="1">
      <c r="A190" s="170" t="s">
        <v>320</v>
      </c>
      <c r="B190" s="169" t="s">
        <v>326</v>
      </c>
      <c r="C190" s="168" t="s">
        <v>133</v>
      </c>
      <c r="D190" s="168">
        <v>1</v>
      </c>
      <c r="E190" s="167" t="str">
        <f ca="1">_xll.DBRA("mfc:skz",B190,"Group")</f>
        <v>EBITD</v>
      </c>
      <c r="F190" s="4" t="s">
        <v>4</v>
      </c>
      <c r="G190" s="171" t="e">
        <f ca="1">_xll.DBRW($A$1,$C190,$B190,G$3,G$1,G$2,$A190)*$D190</f>
        <v>#VALUE!</v>
      </c>
      <c r="H190" s="14" t="e">
        <f ca="1">_xll.DBRW($A$1,$C190,$B190,H$3,H$1,H$2,$A190)*$D190</f>
        <v>#VALUE!</v>
      </c>
      <c r="I190" s="14" t="e">
        <f t="shared" ca="1" si="99"/>
        <v>#VALUE!</v>
      </c>
      <c r="J190" s="171" t="e">
        <f ca="1">_xll.DBRW($A$1,$C190,$B190,J$3,J$1,J$2,$A190)*$D190</f>
        <v>#VALUE!</v>
      </c>
      <c r="K190" s="14" t="e">
        <f ca="1">_xll.DBRW($A$1,$C190,$B190,K$3,K$1,K$2,$A190)*$D190</f>
        <v>#VALUE!</v>
      </c>
      <c r="L190" s="14" t="e">
        <f t="shared" ca="1" si="100"/>
        <v>#VALUE!</v>
      </c>
      <c r="M190" s="171" t="e">
        <f ca="1">_xll.DBRW($A$1,$C190,$B190,M$3,M$1,M$2,$A190)*$D190</f>
        <v>#VALUE!</v>
      </c>
      <c r="N190" s="14" t="e">
        <f ca="1">_xll.DBRW($A$1,$C190,$B190,N$3,N$1,N$2,$A190)*$D190</f>
        <v>#VALUE!</v>
      </c>
      <c r="O190" s="14" t="e">
        <f t="shared" ca="1" si="101"/>
        <v>#VALUE!</v>
      </c>
      <c r="P190" s="171" t="e">
        <f ca="1">_xll.DBRW($A$1,$C190,$B190,P$3,P$1,P$2,$A190)*$D190</f>
        <v>#VALUE!</v>
      </c>
      <c r="Q190" s="14" t="e">
        <f ca="1">_xll.DBRW($A$1,$C190,$B190,Q$3,Q$1,Q$2,$A190)*$D190</f>
        <v>#VALUE!</v>
      </c>
      <c r="R190" s="14" t="e">
        <f t="shared" ca="1" si="102"/>
        <v>#VALUE!</v>
      </c>
      <c r="S190" s="171" t="e">
        <f ca="1">_xll.DBRW($A$1,$C190,$B190,S$3,S$1,S$2,$A190)*$D190</f>
        <v>#VALUE!</v>
      </c>
      <c r="T190" s="14" t="e">
        <f ca="1">_xll.DBRW($A$1,$C190,$B190,T$3,T$1,T$2,$A190)*$D190</f>
        <v>#VALUE!</v>
      </c>
      <c r="U190" s="14" t="e">
        <f t="shared" ca="1" si="103"/>
        <v>#VALUE!</v>
      </c>
      <c r="V190" s="171" t="e">
        <f ca="1">_xll.DBRW($A$1,$C190,$B190,V$3,V$1,V$2,$A190)*$D190</f>
        <v>#VALUE!</v>
      </c>
      <c r="W190" s="14" t="e">
        <f ca="1">_xll.DBRW($A$1,$C190,$B190,W$3,W$1,W$2,$A190)*$D190</f>
        <v>#VALUE!</v>
      </c>
      <c r="X190" s="14" t="e">
        <f t="shared" ca="1" si="104"/>
        <v>#VALUE!</v>
      </c>
      <c r="Y190" s="171" t="e">
        <f ca="1">_xll.DBRW($A$1,$C190,$B190,Y$3,Y$1,Y$2,$A190)*$D190</f>
        <v>#VALUE!</v>
      </c>
      <c r="Z190" s="14" t="e">
        <f ca="1">_xll.DBRW($A$1,$C190,$B190,Z$3,Z$1,Z$2,$A190)*$D190</f>
        <v>#VALUE!</v>
      </c>
      <c r="AA190" s="14" t="e">
        <f t="shared" ca="1" si="105"/>
        <v>#VALUE!</v>
      </c>
      <c r="AB190" s="171" t="e">
        <f ca="1">_xll.DBRW($A$1,$C190,$B190,AB$3,AB$1,AB$2,$A190)*$D190</f>
        <v>#VALUE!</v>
      </c>
      <c r="AC190" s="14" t="e">
        <f ca="1">_xll.DBRW($A$1,$C190,$B190,AC$3,AC$1,AC$2,$A190)*$D190</f>
        <v>#VALUE!</v>
      </c>
      <c r="AD190" s="14" t="e">
        <f t="shared" ca="1" si="106"/>
        <v>#VALUE!</v>
      </c>
      <c r="AE190" s="171" t="e">
        <f ca="1">_xll.DBRW($A$1,$C190,$B190,AE$3,AE$1,AE$2,$A190)*$D190</f>
        <v>#VALUE!</v>
      </c>
      <c r="AF190" s="14" t="e">
        <f ca="1">_xll.DBRW($A$1,$C190,$B190,AF$3,AF$1,AF$2,$A190)*$D190</f>
        <v>#VALUE!</v>
      </c>
      <c r="AG190" s="14" t="e">
        <f t="shared" ca="1" si="107"/>
        <v>#VALUE!</v>
      </c>
      <c r="AH190" s="171" t="e">
        <f ca="1">_xll.DBRW($A$1,$C190,$B190,AH$3,AH$1,AH$2,$A190)*$D190</f>
        <v>#VALUE!</v>
      </c>
      <c r="AI190" s="14" t="e">
        <f ca="1">_xll.DBRW($A$1,$C190,$B190,AI$3,AI$1,AI$2,$A190)*$D190</f>
        <v>#VALUE!</v>
      </c>
      <c r="AJ190" s="14" t="e">
        <f t="shared" ca="1" si="108"/>
        <v>#VALUE!</v>
      </c>
      <c r="AK190" s="171" t="e">
        <f ca="1">_xll.DBRW($A$1,$C190,$B190,AK$3,AK$1,AK$2,$A190)*$D190</f>
        <v>#VALUE!</v>
      </c>
      <c r="AL190" s="14" t="e">
        <f ca="1">_xll.DBRW($A$1,$C190,$B190,AL$3,AL$1,AL$2,$A190)*$D190</f>
        <v>#VALUE!</v>
      </c>
      <c r="AM190" s="14" t="e">
        <f t="shared" ca="1" si="109"/>
        <v>#VALUE!</v>
      </c>
    </row>
    <row r="191" spans="1:39" ht="15" customHeight="1">
      <c r="A191" s="170" t="s">
        <v>319</v>
      </c>
      <c r="B191" s="169" t="s">
        <v>326</v>
      </c>
      <c r="C191" s="168" t="s">
        <v>133</v>
      </c>
      <c r="D191" s="168">
        <v>1</v>
      </c>
      <c r="E191" s="167" t="str">
        <f ca="1">_xll.DBRA("mfc:skz",B191,"Group")</f>
        <v>EBITD</v>
      </c>
      <c r="F191" s="175" t="s">
        <v>39</v>
      </c>
      <c r="G191" s="166" t="e">
        <f ca="1">_xll.DBRW($A$1,$C191,$B191,G$3,G$1,G$2,$A191)*$D191</f>
        <v>#VALUE!</v>
      </c>
      <c r="H191" s="72" t="e">
        <f ca="1">_xll.DBRW($A$1,$C191,$B191,H$3,H$1,H$2,$A191)*$D191</f>
        <v>#VALUE!</v>
      </c>
      <c r="I191" s="72" t="e">
        <f t="shared" ca="1" si="99"/>
        <v>#VALUE!</v>
      </c>
      <c r="J191" s="166" t="e">
        <f ca="1">_xll.DBRW($A$1,$C191,$B191,J$3,J$1,J$2,$A191)*$D191</f>
        <v>#VALUE!</v>
      </c>
      <c r="K191" s="72" t="e">
        <f ca="1">_xll.DBRW($A$1,$C191,$B191,K$3,K$1,K$2,$A191)*$D191</f>
        <v>#VALUE!</v>
      </c>
      <c r="L191" s="72" t="e">
        <f t="shared" ca="1" si="100"/>
        <v>#VALUE!</v>
      </c>
      <c r="M191" s="166" t="e">
        <f ca="1">_xll.DBRW($A$1,$C191,$B191,M$3,M$1,M$2,$A191)*$D191</f>
        <v>#VALUE!</v>
      </c>
      <c r="N191" s="72" t="e">
        <f ca="1">_xll.DBRW($A$1,$C191,$B191,N$3,N$1,N$2,$A191)*$D191</f>
        <v>#VALUE!</v>
      </c>
      <c r="O191" s="72" t="e">
        <f t="shared" ca="1" si="101"/>
        <v>#VALUE!</v>
      </c>
      <c r="P191" s="166" t="e">
        <f ca="1">_xll.DBRW($A$1,$C191,$B191,P$3,P$1,P$2,$A191)*$D191</f>
        <v>#VALUE!</v>
      </c>
      <c r="Q191" s="72" t="e">
        <f ca="1">_xll.DBRW($A$1,$C191,$B191,Q$3,Q$1,Q$2,$A191)*$D191</f>
        <v>#VALUE!</v>
      </c>
      <c r="R191" s="72" t="e">
        <f t="shared" ca="1" si="102"/>
        <v>#VALUE!</v>
      </c>
      <c r="S191" s="166" t="e">
        <f ca="1">_xll.DBRW($A$1,$C191,$B191,S$3,S$1,S$2,$A191)*$D191</f>
        <v>#VALUE!</v>
      </c>
      <c r="T191" s="72" t="e">
        <f ca="1">_xll.DBRW($A$1,$C191,$B191,T$3,T$1,T$2,$A191)*$D191</f>
        <v>#VALUE!</v>
      </c>
      <c r="U191" s="72" t="e">
        <f t="shared" ca="1" si="103"/>
        <v>#VALUE!</v>
      </c>
      <c r="V191" s="166" t="e">
        <f ca="1">_xll.DBRW($A$1,$C191,$B191,V$3,V$1,V$2,$A191)*$D191</f>
        <v>#VALUE!</v>
      </c>
      <c r="W191" s="72" t="e">
        <f ca="1">_xll.DBRW($A$1,$C191,$B191,W$3,W$1,W$2,$A191)*$D191</f>
        <v>#VALUE!</v>
      </c>
      <c r="X191" s="72" t="e">
        <f t="shared" ca="1" si="104"/>
        <v>#VALUE!</v>
      </c>
      <c r="Y191" s="166" t="e">
        <f ca="1">_xll.DBRW($A$1,$C191,$B191,Y$3,Y$1,Y$2,$A191)*$D191</f>
        <v>#VALUE!</v>
      </c>
      <c r="Z191" s="72" t="e">
        <f ca="1">_xll.DBRW($A$1,$C191,$B191,Z$3,Z$1,Z$2,$A191)*$D191</f>
        <v>#VALUE!</v>
      </c>
      <c r="AA191" s="72" t="e">
        <f t="shared" ca="1" si="105"/>
        <v>#VALUE!</v>
      </c>
      <c r="AB191" s="166" t="e">
        <f ca="1">_xll.DBRW($A$1,$C191,$B191,AB$3,AB$1,AB$2,$A191)*$D191</f>
        <v>#VALUE!</v>
      </c>
      <c r="AC191" s="72" t="e">
        <f ca="1">_xll.DBRW($A$1,$C191,$B191,AC$3,AC$1,AC$2,$A191)*$D191</f>
        <v>#VALUE!</v>
      </c>
      <c r="AD191" s="72" t="e">
        <f t="shared" ca="1" si="106"/>
        <v>#VALUE!</v>
      </c>
      <c r="AE191" s="166" t="e">
        <f ca="1">_xll.DBRW($A$1,$C191,$B191,AE$3,AE$1,AE$2,$A191)*$D191</f>
        <v>#VALUE!</v>
      </c>
      <c r="AF191" s="72" t="e">
        <f ca="1">_xll.DBRW($A$1,$C191,$B191,AF$3,AF$1,AF$2,$A191)*$D191</f>
        <v>#VALUE!</v>
      </c>
      <c r="AG191" s="72" t="e">
        <f t="shared" ca="1" si="107"/>
        <v>#VALUE!</v>
      </c>
      <c r="AH191" s="166" t="e">
        <f ca="1">_xll.DBRW($A$1,$C191,$B191,AH$3,AH$1,AH$2,$A191)*$D191</f>
        <v>#VALUE!</v>
      </c>
      <c r="AI191" s="72" t="e">
        <f ca="1">_xll.DBRW($A$1,$C191,$B191,AI$3,AI$1,AI$2,$A191)*$D191</f>
        <v>#VALUE!</v>
      </c>
      <c r="AJ191" s="72" t="e">
        <f t="shared" ca="1" si="108"/>
        <v>#VALUE!</v>
      </c>
      <c r="AK191" s="166" t="e">
        <f ca="1">_xll.DBRW($A$1,$C191,$B191,AK$3,AK$1,AK$2,$A191)*$D191</f>
        <v>#VALUE!</v>
      </c>
      <c r="AL191" s="72" t="e">
        <f ca="1">_xll.DBRW($A$1,$C191,$B191,AL$3,AL$1,AL$2,$A191)*$D191</f>
        <v>#VALUE!</v>
      </c>
      <c r="AM191" s="72" t="e">
        <f t="shared" ca="1" si="109"/>
        <v>#VALUE!</v>
      </c>
    </row>
    <row r="192" spans="1:39" ht="15" customHeight="1">
      <c r="A192" s="170"/>
      <c r="B192" s="169"/>
      <c r="C192" s="168"/>
      <c r="D192" s="168"/>
      <c r="E192" s="167"/>
    </row>
    <row r="193" spans="1:39" ht="15" customHeight="1">
      <c r="A193" s="170"/>
      <c r="B193" s="169"/>
      <c r="C193" s="168"/>
      <c r="D193" s="168"/>
      <c r="E193" s="167"/>
      <c r="F193" s="174" t="s">
        <v>290</v>
      </c>
    </row>
    <row r="194" spans="1:39" ht="15" customHeight="1">
      <c r="A194" s="170"/>
      <c r="B194" s="169"/>
      <c r="C194" s="168"/>
      <c r="D194" s="168"/>
      <c r="E194" s="167"/>
      <c r="F194" s="173" t="s">
        <v>289</v>
      </c>
    </row>
    <row r="195" spans="1:39" ht="15" customHeight="1">
      <c r="A195" s="170"/>
      <c r="B195" s="169"/>
      <c r="C195" s="168"/>
      <c r="D195" s="168"/>
      <c r="E195" s="167"/>
    </row>
    <row r="196" spans="1:39" ht="15" customHeight="1">
      <c r="A196" s="170"/>
      <c r="B196" s="169"/>
      <c r="C196" s="168"/>
      <c r="D196" s="168"/>
      <c r="E196" s="167"/>
    </row>
    <row r="197" spans="1:39" ht="15" customHeight="1">
      <c r="A197" s="170"/>
      <c r="B197" s="169"/>
      <c r="C197" s="168"/>
      <c r="D197" s="168"/>
      <c r="E197" s="167"/>
      <c r="F197" s="154" t="s">
        <v>288</v>
      </c>
    </row>
    <row r="198" spans="1:39" ht="15" customHeight="1" thickBot="1">
      <c r="A198" s="170"/>
      <c r="B198" s="169"/>
      <c r="C198" s="168"/>
      <c r="D198" s="168"/>
      <c r="E198" s="167"/>
      <c r="F198" s="11" t="s">
        <v>287</v>
      </c>
      <c r="G198" s="172"/>
      <c r="H198" s="9"/>
      <c r="I198" s="9"/>
      <c r="J198" s="172"/>
      <c r="K198" s="9"/>
      <c r="L198" s="9"/>
      <c r="M198" s="172"/>
      <c r="N198" s="9"/>
      <c r="O198" s="9"/>
      <c r="P198" s="172"/>
      <c r="Q198" s="9"/>
      <c r="R198" s="9"/>
      <c r="S198" s="172"/>
      <c r="T198" s="9"/>
      <c r="U198" s="9"/>
      <c r="V198" s="172"/>
      <c r="W198" s="9"/>
      <c r="X198" s="9"/>
      <c r="Y198" s="172"/>
      <c r="Z198" s="9"/>
      <c r="AA198" s="9"/>
      <c r="AB198" s="172"/>
      <c r="AC198" s="9"/>
      <c r="AD198" s="9"/>
      <c r="AE198" s="172"/>
      <c r="AF198" s="9"/>
      <c r="AG198" s="9"/>
      <c r="AH198" s="172"/>
      <c r="AI198" s="9"/>
      <c r="AJ198" s="9"/>
      <c r="AK198" s="172"/>
      <c r="AL198" s="9"/>
      <c r="AM198" s="9"/>
    </row>
    <row r="199" spans="1:39" ht="15" customHeight="1" thickTop="1">
      <c r="A199" s="170" t="s">
        <v>325</v>
      </c>
      <c r="B199" s="169" t="s">
        <v>318</v>
      </c>
      <c r="C199" s="168" t="s">
        <v>133</v>
      </c>
      <c r="D199" s="168">
        <v>1</v>
      </c>
      <c r="E199" s="167" t="str">
        <f ca="1">_xll.DBRA("mfc:skz",B199,"Group")</f>
        <v>Clean EBITD (CCS)</v>
      </c>
      <c r="F199" s="5" t="s">
        <v>286</v>
      </c>
      <c r="G199" s="171" t="e">
        <f ca="1">_xll.DBRW($A$1,$C199,$B199,G$3,G$1,G$2,$A199)*$D199</f>
        <v>#VALUE!</v>
      </c>
      <c r="H199" s="14" t="e">
        <f ca="1">_xll.DBRW($A$1,$C199,$B199,H$3,H$1,H$2,$A199)*$D199</f>
        <v>#VALUE!</v>
      </c>
      <c r="I199" s="14" t="e">
        <f t="shared" ref="I199:I205" ca="1" si="110">+G199-H199</f>
        <v>#VALUE!</v>
      </c>
      <c r="J199" s="171" t="e">
        <f ca="1">_xll.DBRW($A$1,$C199,$B199,J$3,J$1,J$2,$A199)*$D199</f>
        <v>#VALUE!</v>
      </c>
      <c r="K199" s="14" t="e">
        <f ca="1">_xll.DBRW($A$1,$C199,$B199,K$3,K$1,K$2,$A199)*$D199</f>
        <v>#VALUE!</v>
      </c>
      <c r="L199" s="14" t="e">
        <f t="shared" ref="L199:L205" ca="1" si="111">+J199-K199</f>
        <v>#VALUE!</v>
      </c>
      <c r="M199" s="171" t="e">
        <f ca="1">_xll.DBRW($A$1,$C199,$B199,M$3,M$1,M$2,$A199)*$D199</f>
        <v>#VALUE!</v>
      </c>
      <c r="N199" s="14" t="e">
        <f ca="1">_xll.DBRW($A$1,$C199,$B199,N$3,N$1,N$2,$A199)*$D199</f>
        <v>#VALUE!</v>
      </c>
      <c r="O199" s="14" t="e">
        <f t="shared" ref="O199:O205" ca="1" si="112">+M199-N199</f>
        <v>#VALUE!</v>
      </c>
      <c r="P199" s="171" t="e">
        <f ca="1">_xll.DBRW($A$1,$C199,$B199,P$3,P$1,P$2,$A199)*$D199</f>
        <v>#VALUE!</v>
      </c>
      <c r="Q199" s="14" t="e">
        <f ca="1">_xll.DBRW($A$1,$C199,$B199,Q$3,Q$1,Q$2,$A199)*$D199</f>
        <v>#VALUE!</v>
      </c>
      <c r="R199" s="14" t="e">
        <f t="shared" ref="R199:R205" ca="1" si="113">+P199-Q199</f>
        <v>#VALUE!</v>
      </c>
      <c r="S199" s="171" t="e">
        <f ca="1">_xll.DBRW($A$1,$C199,$B199,S$3,S$1,S$2,$A199)*$D199</f>
        <v>#VALUE!</v>
      </c>
      <c r="T199" s="14" t="e">
        <f ca="1">_xll.DBRW($A$1,$C199,$B199,T$3,T$1,T$2,$A199)*$D199</f>
        <v>#VALUE!</v>
      </c>
      <c r="U199" s="14" t="e">
        <f t="shared" ref="U199:U205" ca="1" si="114">+S199-T199</f>
        <v>#VALUE!</v>
      </c>
      <c r="V199" s="171" t="e">
        <f ca="1">_xll.DBRW($A$1,$C199,$B199,V$3,V$1,V$2,$A199)*$D199</f>
        <v>#VALUE!</v>
      </c>
      <c r="W199" s="14" t="e">
        <f ca="1">_xll.DBRW($A$1,$C199,$B199,W$3,W$1,W$2,$A199)*$D199</f>
        <v>#VALUE!</v>
      </c>
      <c r="X199" s="14" t="e">
        <f t="shared" ref="X199:X205" ca="1" si="115">+V199-W199</f>
        <v>#VALUE!</v>
      </c>
      <c r="Y199" s="171" t="e">
        <f ca="1">_xll.DBRW($A$1,$C199,$B199,Y$3,Y$1,Y$2,$A199)*$D199</f>
        <v>#VALUE!</v>
      </c>
      <c r="Z199" s="14" t="e">
        <f ca="1">_xll.DBRW($A$1,$C199,$B199,Z$3,Z$1,Z$2,$A199)*$D199</f>
        <v>#VALUE!</v>
      </c>
      <c r="AA199" s="14" t="e">
        <f t="shared" ref="AA199:AA205" ca="1" si="116">+Y199-Z199</f>
        <v>#VALUE!</v>
      </c>
      <c r="AB199" s="171" t="e">
        <f ca="1">_xll.DBRW($A$1,$C199,$B199,AB$3,AB$1,AB$2,$A199)*$D199</f>
        <v>#VALUE!</v>
      </c>
      <c r="AC199" s="14" t="e">
        <f ca="1">_xll.DBRW($A$1,$C199,$B199,AC$3,AC$1,AC$2,$A199)*$D199</f>
        <v>#VALUE!</v>
      </c>
      <c r="AD199" s="14" t="e">
        <f t="shared" ref="AD199:AD205" ca="1" si="117">+AB199-AC199</f>
        <v>#VALUE!</v>
      </c>
      <c r="AE199" s="171" t="e">
        <f ca="1">_xll.DBRW($A$1,$C199,$B199,AE$3,AE$1,AE$2,$A199)*$D199</f>
        <v>#VALUE!</v>
      </c>
      <c r="AF199" s="14" t="e">
        <f ca="1">_xll.DBRW($A$1,$C199,$B199,AF$3,AF$1,AF$2,$A199)*$D199</f>
        <v>#VALUE!</v>
      </c>
      <c r="AG199" s="14" t="e">
        <f t="shared" ref="AG199:AG205" ca="1" si="118">+AE199-AF199</f>
        <v>#VALUE!</v>
      </c>
      <c r="AH199" s="171" t="e">
        <f ca="1">_xll.DBRW($A$1,$C199,$B199,AH$3,AH$1,AH$2,$A199)*$D199</f>
        <v>#VALUE!</v>
      </c>
      <c r="AI199" s="14" t="e">
        <f ca="1">_xll.DBRW($A$1,$C199,$B199,AI$3,AI$1,AI$2,$A199)*$D199</f>
        <v>#VALUE!</v>
      </c>
      <c r="AJ199" s="14" t="e">
        <f t="shared" ref="AJ199:AJ205" ca="1" si="119">+AH199-AI199</f>
        <v>#VALUE!</v>
      </c>
      <c r="AK199" s="171" t="e">
        <f ca="1">_xll.DBRW($A$1,$C199,$B199,AK$3,AK$1,AK$2,$A199)*$D199</f>
        <v>#VALUE!</v>
      </c>
      <c r="AL199" s="14" t="e">
        <f ca="1">_xll.DBRW($A$1,$C199,$B199,AL$3,AL$1,AL$2,$A199)*$D199</f>
        <v>#VALUE!</v>
      </c>
      <c r="AM199" s="14" t="e">
        <f t="shared" ref="AM199:AM205" ca="1" si="120">+AK199-AL199</f>
        <v>#VALUE!</v>
      </c>
    </row>
    <row r="200" spans="1:39" ht="15" customHeight="1">
      <c r="A200" s="170" t="s">
        <v>324</v>
      </c>
      <c r="B200" s="169" t="s">
        <v>318</v>
      </c>
      <c r="C200" s="168" t="s">
        <v>133</v>
      </c>
      <c r="D200" s="168">
        <v>1</v>
      </c>
      <c r="E200" s="167" t="str">
        <f ca="1">_xll.DBRA("mfc:skz",B200,"Group")</f>
        <v>Clean EBITD (CCS)</v>
      </c>
      <c r="F200" s="5" t="s">
        <v>188</v>
      </c>
      <c r="G200" s="171" t="e">
        <f ca="1">_xll.DBRW($A$1,$C200,$B200,G$3,G$1,G$2,$A200)*$D200</f>
        <v>#VALUE!</v>
      </c>
      <c r="H200" s="14" t="e">
        <f ca="1">_xll.DBRW($A$1,$C200,$B200,H$3,H$1,H$2,$A200)*$D200</f>
        <v>#VALUE!</v>
      </c>
      <c r="I200" s="14" t="e">
        <f t="shared" ca="1" si="110"/>
        <v>#VALUE!</v>
      </c>
      <c r="J200" s="171" t="e">
        <f ca="1">_xll.DBRW($A$1,$C200,$B200,J$3,J$1,J$2,$A200)*$D200</f>
        <v>#VALUE!</v>
      </c>
      <c r="K200" s="14" t="e">
        <f ca="1">_xll.DBRW($A$1,$C200,$B200,K$3,K$1,K$2,$A200)*$D200</f>
        <v>#VALUE!</v>
      </c>
      <c r="L200" s="14" t="e">
        <f t="shared" ca="1" si="111"/>
        <v>#VALUE!</v>
      </c>
      <c r="M200" s="171" t="e">
        <f ca="1">_xll.DBRW($A$1,$C200,$B200,M$3,M$1,M$2,$A200)*$D200</f>
        <v>#VALUE!</v>
      </c>
      <c r="N200" s="14" t="e">
        <f ca="1">_xll.DBRW($A$1,$C200,$B200,N$3,N$1,N$2,$A200)*$D200</f>
        <v>#VALUE!</v>
      </c>
      <c r="O200" s="14" t="e">
        <f t="shared" ca="1" si="112"/>
        <v>#VALUE!</v>
      </c>
      <c r="P200" s="171" t="e">
        <f ca="1">_xll.DBRW($A$1,$C200,$B200,P$3,P$1,P$2,$A200)*$D200</f>
        <v>#VALUE!</v>
      </c>
      <c r="Q200" s="14" t="e">
        <f ca="1">_xll.DBRW($A$1,$C200,$B200,Q$3,Q$1,Q$2,$A200)*$D200</f>
        <v>#VALUE!</v>
      </c>
      <c r="R200" s="14" t="e">
        <f t="shared" ca="1" si="113"/>
        <v>#VALUE!</v>
      </c>
      <c r="S200" s="171" t="e">
        <f ca="1">_xll.DBRW($A$1,$C200,$B200,S$3,S$1,S$2,$A200)*$D200</f>
        <v>#VALUE!</v>
      </c>
      <c r="T200" s="14" t="e">
        <f ca="1">_xll.DBRW($A$1,$C200,$B200,T$3,T$1,T$2,$A200)*$D200</f>
        <v>#VALUE!</v>
      </c>
      <c r="U200" s="14" t="e">
        <f t="shared" ca="1" si="114"/>
        <v>#VALUE!</v>
      </c>
      <c r="V200" s="171" t="e">
        <f ca="1">_xll.DBRW($A$1,$C200,$B200,V$3,V$1,V$2,$A200)*$D200</f>
        <v>#VALUE!</v>
      </c>
      <c r="W200" s="14" t="e">
        <f ca="1">_xll.DBRW($A$1,$C200,$B200,W$3,W$1,W$2,$A200)*$D200</f>
        <v>#VALUE!</v>
      </c>
      <c r="X200" s="14" t="e">
        <f t="shared" ca="1" si="115"/>
        <v>#VALUE!</v>
      </c>
      <c r="Y200" s="171" t="e">
        <f ca="1">_xll.DBRW($A$1,$C200,$B200,Y$3,Y$1,Y$2,$A200)*$D200</f>
        <v>#VALUE!</v>
      </c>
      <c r="Z200" s="14" t="e">
        <f ca="1">_xll.DBRW($A$1,$C200,$B200,Z$3,Z$1,Z$2,$A200)*$D200</f>
        <v>#VALUE!</v>
      </c>
      <c r="AA200" s="14" t="e">
        <f t="shared" ca="1" si="116"/>
        <v>#VALUE!</v>
      </c>
      <c r="AB200" s="171" t="e">
        <f ca="1">_xll.DBRW($A$1,$C200,$B200,AB$3,AB$1,AB$2,$A200)*$D200</f>
        <v>#VALUE!</v>
      </c>
      <c r="AC200" s="14" t="e">
        <f ca="1">_xll.DBRW($A$1,$C200,$B200,AC$3,AC$1,AC$2,$A200)*$D200</f>
        <v>#VALUE!</v>
      </c>
      <c r="AD200" s="14" t="e">
        <f t="shared" ca="1" si="117"/>
        <v>#VALUE!</v>
      </c>
      <c r="AE200" s="171" t="e">
        <f ca="1">_xll.DBRW($A$1,$C200,$B200,AE$3,AE$1,AE$2,$A200)*$D200</f>
        <v>#VALUE!</v>
      </c>
      <c r="AF200" s="14" t="e">
        <f ca="1">_xll.DBRW($A$1,$C200,$B200,AF$3,AF$1,AF$2,$A200)*$D200</f>
        <v>#VALUE!</v>
      </c>
      <c r="AG200" s="14" t="e">
        <f t="shared" ca="1" si="118"/>
        <v>#VALUE!</v>
      </c>
      <c r="AH200" s="171" t="e">
        <f ca="1">_xll.DBRW($A$1,$C200,$B200,AH$3,AH$1,AH$2,$A200)*$D200</f>
        <v>#VALUE!</v>
      </c>
      <c r="AI200" s="14" t="e">
        <f ca="1">_xll.DBRW($A$1,$C200,$B200,AI$3,AI$1,AI$2,$A200)*$D200</f>
        <v>#VALUE!</v>
      </c>
      <c r="AJ200" s="14" t="e">
        <f t="shared" ca="1" si="119"/>
        <v>#VALUE!</v>
      </c>
      <c r="AK200" s="171" t="e">
        <f ca="1">_xll.DBRW($A$1,$C200,$B200,AK$3,AK$1,AK$2,$A200)*$D200</f>
        <v>#VALUE!</v>
      </c>
      <c r="AL200" s="14" t="e">
        <f ca="1">_xll.DBRW($A$1,$C200,$B200,AL$3,AL$1,AL$2,$A200)*$D200</f>
        <v>#VALUE!</v>
      </c>
      <c r="AM200" s="14" t="e">
        <f t="shared" ca="1" si="120"/>
        <v>#VALUE!</v>
      </c>
    </row>
    <row r="201" spans="1:39" ht="15" customHeight="1">
      <c r="A201" s="170" t="s">
        <v>323</v>
      </c>
      <c r="B201" s="169" t="s">
        <v>318</v>
      </c>
      <c r="C201" s="168" t="s">
        <v>133</v>
      </c>
      <c r="D201" s="168">
        <v>1</v>
      </c>
      <c r="E201" s="167" t="str">
        <f ca="1">_xll.DBRA("mfc:skz",B201,"Group")</f>
        <v>Clean EBITD (CCS)</v>
      </c>
      <c r="F201" s="91" t="s">
        <v>190</v>
      </c>
      <c r="G201" s="171" t="e">
        <f ca="1">_xll.DBRW($A$1,$C201,$B201,G$3,G$1,G$2,$A201)*$D201</f>
        <v>#VALUE!</v>
      </c>
      <c r="H201" s="14" t="e">
        <f ca="1">_xll.DBRW($A$1,$C201,$B201,H$3,H$1,H$2,$A201)*$D201</f>
        <v>#VALUE!</v>
      </c>
      <c r="I201" s="14" t="e">
        <f t="shared" ca="1" si="110"/>
        <v>#VALUE!</v>
      </c>
      <c r="J201" s="171" t="e">
        <f ca="1">_xll.DBRW($A$1,$C201,$B201,J$3,J$1,J$2,$A201)*$D201</f>
        <v>#VALUE!</v>
      </c>
      <c r="K201" s="14" t="e">
        <f ca="1">_xll.DBRW($A$1,$C201,$B201,K$3,K$1,K$2,$A201)*$D201</f>
        <v>#VALUE!</v>
      </c>
      <c r="L201" s="14" t="e">
        <f t="shared" ca="1" si="111"/>
        <v>#VALUE!</v>
      </c>
      <c r="M201" s="171" t="e">
        <f ca="1">_xll.DBRW($A$1,$C201,$B201,M$3,M$1,M$2,$A201)*$D201</f>
        <v>#VALUE!</v>
      </c>
      <c r="N201" s="14" t="e">
        <f ca="1">_xll.DBRW($A$1,$C201,$B201,N$3,N$1,N$2,$A201)*$D201</f>
        <v>#VALUE!</v>
      </c>
      <c r="O201" s="14" t="e">
        <f t="shared" ca="1" si="112"/>
        <v>#VALUE!</v>
      </c>
      <c r="P201" s="171" t="e">
        <f ca="1">_xll.DBRW($A$1,$C201,$B201,P$3,P$1,P$2,$A201)*$D201</f>
        <v>#VALUE!</v>
      </c>
      <c r="Q201" s="14" t="e">
        <f ca="1">_xll.DBRW($A$1,$C201,$B201,Q$3,Q$1,Q$2,$A201)*$D201</f>
        <v>#VALUE!</v>
      </c>
      <c r="R201" s="14" t="e">
        <f t="shared" ca="1" si="113"/>
        <v>#VALUE!</v>
      </c>
      <c r="S201" s="171" t="e">
        <f ca="1">_xll.DBRW($A$1,$C201,$B201,S$3,S$1,S$2,$A201)*$D201</f>
        <v>#VALUE!</v>
      </c>
      <c r="T201" s="14" t="e">
        <f ca="1">_xll.DBRW($A$1,$C201,$B201,T$3,T$1,T$2,$A201)*$D201</f>
        <v>#VALUE!</v>
      </c>
      <c r="U201" s="14" t="e">
        <f t="shared" ca="1" si="114"/>
        <v>#VALUE!</v>
      </c>
      <c r="V201" s="171" t="e">
        <f ca="1">_xll.DBRW($A$1,$C201,$B201,V$3,V$1,V$2,$A201)*$D201</f>
        <v>#VALUE!</v>
      </c>
      <c r="W201" s="14" t="e">
        <f ca="1">_xll.DBRW($A$1,$C201,$B201,W$3,W$1,W$2,$A201)*$D201</f>
        <v>#VALUE!</v>
      </c>
      <c r="X201" s="14" t="e">
        <f t="shared" ca="1" si="115"/>
        <v>#VALUE!</v>
      </c>
      <c r="Y201" s="171" t="e">
        <f ca="1">_xll.DBRW($A$1,$C201,$B201,Y$3,Y$1,Y$2,$A201)*$D201</f>
        <v>#VALUE!</v>
      </c>
      <c r="Z201" s="14" t="e">
        <f ca="1">_xll.DBRW($A$1,$C201,$B201,Z$3,Z$1,Z$2,$A201)*$D201</f>
        <v>#VALUE!</v>
      </c>
      <c r="AA201" s="14" t="e">
        <f t="shared" ca="1" si="116"/>
        <v>#VALUE!</v>
      </c>
      <c r="AB201" s="171" t="e">
        <f ca="1">_xll.DBRW($A$1,$C201,$B201,AB$3,AB$1,AB$2,$A201)*$D201</f>
        <v>#VALUE!</v>
      </c>
      <c r="AC201" s="14" t="e">
        <f ca="1">_xll.DBRW($A$1,$C201,$B201,AC$3,AC$1,AC$2,$A201)*$D201</f>
        <v>#VALUE!</v>
      </c>
      <c r="AD201" s="14" t="e">
        <f t="shared" ca="1" si="117"/>
        <v>#VALUE!</v>
      </c>
      <c r="AE201" s="171" t="e">
        <f ca="1">_xll.DBRW($A$1,$C201,$B201,AE$3,AE$1,AE$2,$A201)*$D201</f>
        <v>#VALUE!</v>
      </c>
      <c r="AF201" s="14" t="e">
        <f ca="1">_xll.DBRW($A$1,$C201,$B201,AF$3,AF$1,AF$2,$A201)*$D201</f>
        <v>#VALUE!</v>
      </c>
      <c r="AG201" s="14" t="e">
        <f t="shared" ca="1" si="118"/>
        <v>#VALUE!</v>
      </c>
      <c r="AH201" s="171" t="e">
        <f ca="1">_xll.DBRW($A$1,$C201,$B201,AH$3,AH$1,AH$2,$A201)*$D201</f>
        <v>#VALUE!</v>
      </c>
      <c r="AI201" s="14" t="e">
        <f ca="1">_xll.DBRW($A$1,$C201,$B201,AI$3,AI$1,AI$2,$A201)*$D201</f>
        <v>#VALUE!</v>
      </c>
      <c r="AJ201" s="14" t="e">
        <f t="shared" ca="1" si="119"/>
        <v>#VALUE!</v>
      </c>
      <c r="AK201" s="171" t="e">
        <f ca="1">_xll.DBRW($A$1,$C201,$B201,AK$3,AK$1,AK$2,$A201)*$D201</f>
        <v>#VALUE!</v>
      </c>
      <c r="AL201" s="14" t="e">
        <f ca="1">_xll.DBRW($A$1,$C201,$B201,AL$3,AL$1,AL$2,$A201)*$D201</f>
        <v>#VALUE!</v>
      </c>
      <c r="AM201" s="14" t="e">
        <f t="shared" ca="1" si="120"/>
        <v>#VALUE!</v>
      </c>
    </row>
    <row r="202" spans="1:39" ht="15" customHeight="1">
      <c r="A202" s="170" t="s">
        <v>322</v>
      </c>
      <c r="B202" s="169" t="s">
        <v>318</v>
      </c>
      <c r="C202" s="168" t="s">
        <v>133</v>
      </c>
      <c r="D202" s="168">
        <v>1</v>
      </c>
      <c r="E202" s="167" t="str">
        <f ca="1">_xll.DBRA("mfc:skz",B202,"Group")</f>
        <v>Clean EBITD (CCS)</v>
      </c>
      <c r="F202" s="91" t="s">
        <v>191</v>
      </c>
      <c r="G202" s="171" t="e">
        <f ca="1">_xll.DBRW($A$1,$C202,$B202,G$3,G$1,G$2,$A202)*$D202</f>
        <v>#VALUE!</v>
      </c>
      <c r="H202" s="14" t="e">
        <f ca="1">_xll.DBRW($A$1,$C202,$B202,H$3,H$1,H$2,$A202)*$D202</f>
        <v>#VALUE!</v>
      </c>
      <c r="I202" s="14" t="e">
        <f t="shared" ca="1" si="110"/>
        <v>#VALUE!</v>
      </c>
      <c r="J202" s="171" t="e">
        <f ca="1">_xll.DBRW($A$1,$C202,$B202,J$3,J$1,J$2,$A202)*$D202</f>
        <v>#VALUE!</v>
      </c>
      <c r="K202" s="14" t="e">
        <f ca="1">_xll.DBRW($A$1,$C202,$B202,K$3,K$1,K$2,$A202)*$D202</f>
        <v>#VALUE!</v>
      </c>
      <c r="L202" s="14" t="e">
        <f t="shared" ca="1" si="111"/>
        <v>#VALUE!</v>
      </c>
      <c r="M202" s="171" t="e">
        <f ca="1">_xll.DBRW($A$1,$C202,$B202,M$3,M$1,M$2,$A202)*$D202</f>
        <v>#VALUE!</v>
      </c>
      <c r="N202" s="14" t="e">
        <f ca="1">_xll.DBRW($A$1,$C202,$B202,N$3,N$1,N$2,$A202)*$D202</f>
        <v>#VALUE!</v>
      </c>
      <c r="O202" s="14" t="e">
        <f t="shared" ca="1" si="112"/>
        <v>#VALUE!</v>
      </c>
      <c r="P202" s="171" t="e">
        <f ca="1">_xll.DBRW($A$1,$C202,$B202,P$3,P$1,P$2,$A202)*$D202</f>
        <v>#VALUE!</v>
      </c>
      <c r="Q202" s="14" t="e">
        <f ca="1">_xll.DBRW($A$1,$C202,$B202,Q$3,Q$1,Q$2,$A202)*$D202</f>
        <v>#VALUE!</v>
      </c>
      <c r="R202" s="14" t="e">
        <f t="shared" ca="1" si="113"/>
        <v>#VALUE!</v>
      </c>
      <c r="S202" s="171" t="e">
        <f ca="1">_xll.DBRW($A$1,$C202,$B202,S$3,S$1,S$2,$A202)*$D202</f>
        <v>#VALUE!</v>
      </c>
      <c r="T202" s="14" t="e">
        <f ca="1">_xll.DBRW($A$1,$C202,$B202,T$3,T$1,T$2,$A202)*$D202</f>
        <v>#VALUE!</v>
      </c>
      <c r="U202" s="14" t="e">
        <f t="shared" ca="1" si="114"/>
        <v>#VALUE!</v>
      </c>
      <c r="V202" s="171" t="e">
        <f ca="1">_xll.DBRW($A$1,$C202,$B202,V$3,V$1,V$2,$A202)*$D202</f>
        <v>#VALUE!</v>
      </c>
      <c r="W202" s="14" t="e">
        <f ca="1">_xll.DBRW($A$1,$C202,$B202,W$3,W$1,W$2,$A202)*$D202</f>
        <v>#VALUE!</v>
      </c>
      <c r="X202" s="14" t="e">
        <f t="shared" ca="1" si="115"/>
        <v>#VALUE!</v>
      </c>
      <c r="Y202" s="171" t="e">
        <f ca="1">_xll.DBRW($A$1,$C202,$B202,Y$3,Y$1,Y$2,$A202)*$D202</f>
        <v>#VALUE!</v>
      </c>
      <c r="Z202" s="14" t="e">
        <f ca="1">_xll.DBRW($A$1,$C202,$B202,Z$3,Z$1,Z$2,$A202)*$D202</f>
        <v>#VALUE!</v>
      </c>
      <c r="AA202" s="14" t="e">
        <f t="shared" ca="1" si="116"/>
        <v>#VALUE!</v>
      </c>
      <c r="AB202" s="171" t="e">
        <f ca="1">_xll.DBRW($A$1,$C202,$B202,AB$3,AB$1,AB$2,$A202)*$D202</f>
        <v>#VALUE!</v>
      </c>
      <c r="AC202" s="14" t="e">
        <f ca="1">_xll.DBRW($A$1,$C202,$B202,AC$3,AC$1,AC$2,$A202)*$D202</f>
        <v>#VALUE!</v>
      </c>
      <c r="AD202" s="14" t="e">
        <f t="shared" ca="1" si="117"/>
        <v>#VALUE!</v>
      </c>
      <c r="AE202" s="171" t="e">
        <f ca="1">_xll.DBRW($A$1,$C202,$B202,AE$3,AE$1,AE$2,$A202)*$D202</f>
        <v>#VALUE!</v>
      </c>
      <c r="AF202" s="14" t="e">
        <f ca="1">_xll.DBRW($A$1,$C202,$B202,AF$3,AF$1,AF$2,$A202)*$D202</f>
        <v>#VALUE!</v>
      </c>
      <c r="AG202" s="14" t="e">
        <f t="shared" ca="1" si="118"/>
        <v>#VALUE!</v>
      </c>
      <c r="AH202" s="171" t="e">
        <f ca="1">_xll.DBRW($A$1,$C202,$B202,AH$3,AH$1,AH$2,$A202)*$D202</f>
        <v>#VALUE!</v>
      </c>
      <c r="AI202" s="14" t="e">
        <f ca="1">_xll.DBRW($A$1,$C202,$B202,AI$3,AI$1,AI$2,$A202)*$D202</f>
        <v>#VALUE!</v>
      </c>
      <c r="AJ202" s="14" t="e">
        <f t="shared" ca="1" si="119"/>
        <v>#VALUE!</v>
      </c>
      <c r="AK202" s="171" t="e">
        <f ca="1">_xll.DBRW($A$1,$C202,$B202,AK$3,AK$1,AK$2,$A202)*$D202</f>
        <v>#VALUE!</v>
      </c>
      <c r="AL202" s="14" t="e">
        <f ca="1">_xll.DBRW($A$1,$C202,$B202,AL$3,AL$1,AL$2,$A202)*$D202</f>
        <v>#VALUE!</v>
      </c>
      <c r="AM202" s="14" t="e">
        <f t="shared" ca="1" si="120"/>
        <v>#VALUE!</v>
      </c>
    </row>
    <row r="203" spans="1:39" ht="15" customHeight="1">
      <c r="A203" s="170" t="s">
        <v>321</v>
      </c>
      <c r="B203" s="169" t="s">
        <v>318</v>
      </c>
      <c r="C203" s="168" t="s">
        <v>133</v>
      </c>
      <c r="D203" s="168">
        <v>1</v>
      </c>
      <c r="E203" s="167" t="str">
        <f ca="1">_xll.DBRA("mfc:skz",B203,"Group")</f>
        <v>Clean EBITD (CCS)</v>
      </c>
      <c r="F203" s="5" t="s">
        <v>38</v>
      </c>
      <c r="G203" s="171" t="e">
        <f ca="1">_xll.DBRW($A$1,$C203,$B203,G$3,G$1,G$2,$A203)*$D203</f>
        <v>#VALUE!</v>
      </c>
      <c r="H203" s="14" t="e">
        <f ca="1">_xll.DBRW($A$1,$C203,$B203,H$3,H$1,H$2,$A203)*$D203</f>
        <v>#VALUE!</v>
      </c>
      <c r="I203" s="14" t="e">
        <f t="shared" ca="1" si="110"/>
        <v>#VALUE!</v>
      </c>
      <c r="J203" s="171" t="e">
        <f ca="1">_xll.DBRW($A$1,$C203,$B203,J$3,J$1,J$2,$A203)*$D203</f>
        <v>#VALUE!</v>
      </c>
      <c r="K203" s="14" t="e">
        <f ca="1">_xll.DBRW($A$1,$C203,$B203,K$3,K$1,K$2,$A203)*$D203</f>
        <v>#VALUE!</v>
      </c>
      <c r="L203" s="14" t="e">
        <f t="shared" ca="1" si="111"/>
        <v>#VALUE!</v>
      </c>
      <c r="M203" s="171" t="e">
        <f ca="1">_xll.DBRW($A$1,$C203,$B203,M$3,M$1,M$2,$A203)*$D203</f>
        <v>#VALUE!</v>
      </c>
      <c r="N203" s="14" t="e">
        <f ca="1">_xll.DBRW($A$1,$C203,$B203,N$3,N$1,N$2,$A203)*$D203</f>
        <v>#VALUE!</v>
      </c>
      <c r="O203" s="14" t="e">
        <f t="shared" ca="1" si="112"/>
        <v>#VALUE!</v>
      </c>
      <c r="P203" s="171" t="e">
        <f ca="1">_xll.DBRW($A$1,$C203,$B203,P$3,P$1,P$2,$A203)*$D203</f>
        <v>#VALUE!</v>
      </c>
      <c r="Q203" s="14" t="e">
        <f ca="1">_xll.DBRW($A$1,$C203,$B203,Q$3,Q$1,Q$2,$A203)*$D203</f>
        <v>#VALUE!</v>
      </c>
      <c r="R203" s="14" t="e">
        <f t="shared" ca="1" si="113"/>
        <v>#VALUE!</v>
      </c>
      <c r="S203" s="171" t="e">
        <f ca="1">_xll.DBRW($A$1,$C203,$B203,S$3,S$1,S$2,$A203)*$D203</f>
        <v>#VALUE!</v>
      </c>
      <c r="T203" s="14" t="e">
        <f ca="1">_xll.DBRW($A$1,$C203,$B203,T$3,T$1,T$2,$A203)*$D203</f>
        <v>#VALUE!</v>
      </c>
      <c r="U203" s="14" t="e">
        <f t="shared" ca="1" si="114"/>
        <v>#VALUE!</v>
      </c>
      <c r="V203" s="171" t="e">
        <f ca="1">_xll.DBRW($A$1,$C203,$B203,V$3,V$1,V$2,$A203)*$D203</f>
        <v>#VALUE!</v>
      </c>
      <c r="W203" s="14" t="e">
        <f ca="1">_xll.DBRW($A$1,$C203,$B203,W$3,W$1,W$2,$A203)*$D203</f>
        <v>#VALUE!</v>
      </c>
      <c r="X203" s="14" t="e">
        <f t="shared" ca="1" si="115"/>
        <v>#VALUE!</v>
      </c>
      <c r="Y203" s="171" t="e">
        <f ca="1">_xll.DBRW($A$1,$C203,$B203,Y$3,Y$1,Y$2,$A203)*$D203</f>
        <v>#VALUE!</v>
      </c>
      <c r="Z203" s="14" t="e">
        <f ca="1">_xll.DBRW($A$1,$C203,$B203,Z$3,Z$1,Z$2,$A203)*$D203</f>
        <v>#VALUE!</v>
      </c>
      <c r="AA203" s="14" t="e">
        <f t="shared" ca="1" si="116"/>
        <v>#VALUE!</v>
      </c>
      <c r="AB203" s="171" t="e">
        <f ca="1">_xll.DBRW($A$1,$C203,$B203,AB$3,AB$1,AB$2,$A203)*$D203</f>
        <v>#VALUE!</v>
      </c>
      <c r="AC203" s="14" t="e">
        <f ca="1">_xll.DBRW($A$1,$C203,$B203,AC$3,AC$1,AC$2,$A203)*$D203</f>
        <v>#VALUE!</v>
      </c>
      <c r="AD203" s="14" t="e">
        <f t="shared" ca="1" si="117"/>
        <v>#VALUE!</v>
      </c>
      <c r="AE203" s="171" t="e">
        <f ca="1">_xll.DBRW($A$1,$C203,$B203,AE$3,AE$1,AE$2,$A203)*$D203</f>
        <v>#VALUE!</v>
      </c>
      <c r="AF203" s="14" t="e">
        <f ca="1">_xll.DBRW($A$1,$C203,$B203,AF$3,AF$1,AF$2,$A203)*$D203</f>
        <v>#VALUE!</v>
      </c>
      <c r="AG203" s="14" t="e">
        <f t="shared" ca="1" si="118"/>
        <v>#VALUE!</v>
      </c>
      <c r="AH203" s="171" t="e">
        <f ca="1">_xll.DBRW($A$1,$C203,$B203,AH$3,AH$1,AH$2,$A203)*$D203</f>
        <v>#VALUE!</v>
      </c>
      <c r="AI203" s="14" t="e">
        <f ca="1">_xll.DBRW($A$1,$C203,$B203,AI$3,AI$1,AI$2,$A203)*$D203</f>
        <v>#VALUE!</v>
      </c>
      <c r="AJ203" s="14" t="e">
        <f t="shared" ca="1" si="119"/>
        <v>#VALUE!</v>
      </c>
      <c r="AK203" s="171" t="e">
        <f ca="1">_xll.DBRW($A$1,$C203,$B203,AK$3,AK$1,AK$2,$A203)*$D203</f>
        <v>#VALUE!</v>
      </c>
      <c r="AL203" s="14" t="e">
        <f ca="1">_xll.DBRW($A$1,$C203,$B203,AL$3,AL$1,AL$2,$A203)*$D203</f>
        <v>#VALUE!</v>
      </c>
      <c r="AM203" s="14" t="e">
        <f t="shared" ca="1" si="120"/>
        <v>#VALUE!</v>
      </c>
    </row>
    <row r="204" spans="1:39" ht="15" customHeight="1">
      <c r="A204" s="170" t="s">
        <v>320</v>
      </c>
      <c r="B204" s="169" t="s">
        <v>318</v>
      </c>
      <c r="C204" s="168" t="s">
        <v>133</v>
      </c>
      <c r="D204" s="168">
        <v>1</v>
      </c>
      <c r="E204" s="167" t="str">
        <f ca="1">_xll.DBRA("mfc:skz",B204,"Group")</f>
        <v>Clean EBITD (CCS)</v>
      </c>
      <c r="F204" s="5" t="s">
        <v>4</v>
      </c>
      <c r="G204" s="171" t="e">
        <f ca="1">_xll.DBRW($A$1,$C204,$B204,G$3,G$1,G$2,$A204)*$D204</f>
        <v>#VALUE!</v>
      </c>
      <c r="H204" s="14" t="e">
        <f ca="1">_xll.DBRW($A$1,$C204,$B204,H$3,H$1,H$2,$A204)*$D204</f>
        <v>#VALUE!</v>
      </c>
      <c r="I204" s="14" t="e">
        <f t="shared" ca="1" si="110"/>
        <v>#VALUE!</v>
      </c>
      <c r="J204" s="171" t="e">
        <f ca="1">_xll.DBRW($A$1,$C204,$B204,J$3,J$1,J$2,$A204)*$D204</f>
        <v>#VALUE!</v>
      </c>
      <c r="K204" s="14" t="e">
        <f ca="1">_xll.DBRW($A$1,$C204,$B204,K$3,K$1,K$2,$A204)*$D204</f>
        <v>#VALUE!</v>
      </c>
      <c r="L204" s="14" t="e">
        <f t="shared" ca="1" si="111"/>
        <v>#VALUE!</v>
      </c>
      <c r="M204" s="171" t="e">
        <f ca="1">_xll.DBRW($A$1,$C204,$B204,M$3,M$1,M$2,$A204)*$D204</f>
        <v>#VALUE!</v>
      </c>
      <c r="N204" s="14" t="e">
        <f ca="1">_xll.DBRW($A$1,$C204,$B204,N$3,N$1,N$2,$A204)*$D204</f>
        <v>#VALUE!</v>
      </c>
      <c r="O204" s="14" t="e">
        <f t="shared" ca="1" si="112"/>
        <v>#VALUE!</v>
      </c>
      <c r="P204" s="171" t="e">
        <f ca="1">_xll.DBRW($A$1,$C204,$B204,P$3,P$1,P$2,$A204)*$D204</f>
        <v>#VALUE!</v>
      </c>
      <c r="Q204" s="14" t="e">
        <f ca="1">_xll.DBRW($A$1,$C204,$B204,Q$3,Q$1,Q$2,$A204)*$D204</f>
        <v>#VALUE!</v>
      </c>
      <c r="R204" s="14" t="e">
        <f t="shared" ca="1" si="113"/>
        <v>#VALUE!</v>
      </c>
      <c r="S204" s="171" t="e">
        <f ca="1">_xll.DBRW($A$1,$C204,$B204,S$3,S$1,S$2,$A204)*$D204</f>
        <v>#VALUE!</v>
      </c>
      <c r="T204" s="14" t="e">
        <f ca="1">_xll.DBRW($A$1,$C204,$B204,T$3,T$1,T$2,$A204)*$D204</f>
        <v>#VALUE!</v>
      </c>
      <c r="U204" s="14" t="e">
        <f t="shared" ca="1" si="114"/>
        <v>#VALUE!</v>
      </c>
      <c r="V204" s="171" t="e">
        <f ca="1">_xll.DBRW($A$1,$C204,$B204,V$3,V$1,V$2,$A204)*$D204</f>
        <v>#VALUE!</v>
      </c>
      <c r="W204" s="14" t="e">
        <f ca="1">_xll.DBRW($A$1,$C204,$B204,W$3,W$1,W$2,$A204)*$D204</f>
        <v>#VALUE!</v>
      </c>
      <c r="X204" s="14" t="e">
        <f t="shared" ca="1" si="115"/>
        <v>#VALUE!</v>
      </c>
      <c r="Y204" s="171" t="e">
        <f ca="1">_xll.DBRW($A$1,$C204,$B204,Y$3,Y$1,Y$2,$A204)*$D204</f>
        <v>#VALUE!</v>
      </c>
      <c r="Z204" s="14" t="e">
        <f ca="1">_xll.DBRW($A$1,$C204,$B204,Z$3,Z$1,Z$2,$A204)*$D204</f>
        <v>#VALUE!</v>
      </c>
      <c r="AA204" s="14" t="e">
        <f t="shared" ca="1" si="116"/>
        <v>#VALUE!</v>
      </c>
      <c r="AB204" s="171" t="e">
        <f ca="1">_xll.DBRW($A$1,$C204,$B204,AB$3,AB$1,AB$2,$A204)*$D204</f>
        <v>#VALUE!</v>
      </c>
      <c r="AC204" s="14" t="e">
        <f ca="1">_xll.DBRW($A$1,$C204,$B204,AC$3,AC$1,AC$2,$A204)*$D204</f>
        <v>#VALUE!</v>
      </c>
      <c r="AD204" s="14" t="e">
        <f t="shared" ca="1" si="117"/>
        <v>#VALUE!</v>
      </c>
      <c r="AE204" s="171" t="e">
        <f ca="1">_xll.DBRW($A$1,$C204,$B204,AE$3,AE$1,AE$2,$A204)*$D204</f>
        <v>#VALUE!</v>
      </c>
      <c r="AF204" s="14" t="e">
        <f ca="1">_xll.DBRW($A$1,$C204,$B204,AF$3,AF$1,AF$2,$A204)*$D204</f>
        <v>#VALUE!</v>
      </c>
      <c r="AG204" s="14" t="e">
        <f t="shared" ca="1" si="118"/>
        <v>#VALUE!</v>
      </c>
      <c r="AH204" s="171" t="e">
        <f ca="1">_xll.DBRW($A$1,$C204,$B204,AH$3,AH$1,AH$2,$A204)*$D204</f>
        <v>#VALUE!</v>
      </c>
      <c r="AI204" s="14" t="e">
        <f ca="1">_xll.DBRW($A$1,$C204,$B204,AI$3,AI$1,AI$2,$A204)*$D204</f>
        <v>#VALUE!</v>
      </c>
      <c r="AJ204" s="14" t="e">
        <f t="shared" ca="1" si="119"/>
        <v>#VALUE!</v>
      </c>
      <c r="AK204" s="171" t="e">
        <f ca="1">_xll.DBRW($A$1,$C204,$B204,AK$3,AK$1,AK$2,$A204)*$D204</f>
        <v>#VALUE!</v>
      </c>
      <c r="AL204" s="14" t="e">
        <f ca="1">_xll.DBRW($A$1,$C204,$B204,AL$3,AL$1,AL$2,$A204)*$D204</f>
        <v>#VALUE!</v>
      </c>
      <c r="AM204" s="14" t="e">
        <f t="shared" ca="1" si="120"/>
        <v>#VALUE!</v>
      </c>
    </row>
    <row r="205" spans="1:39" ht="15" customHeight="1">
      <c r="A205" s="170" t="s">
        <v>319</v>
      </c>
      <c r="B205" s="169" t="s">
        <v>318</v>
      </c>
      <c r="C205" s="168" t="s">
        <v>133</v>
      </c>
      <c r="D205" s="168">
        <v>1</v>
      </c>
      <c r="E205" s="167" t="str">
        <f ca="1">_xll.DBRA("mfc:skz",B205,"Group")</f>
        <v>Clean EBITD (CCS)</v>
      </c>
      <c r="F205" s="75" t="s">
        <v>39</v>
      </c>
      <c r="G205" s="166" t="e">
        <f ca="1">_xll.DBRW($A$1,$C205,$B205,G$3,G$1,G$2,$A205)*$D205</f>
        <v>#VALUE!</v>
      </c>
      <c r="H205" s="72" t="e">
        <f ca="1">_xll.DBRW($A$1,$C205,$B205,H$3,H$1,H$2,$A205)*$D205</f>
        <v>#VALUE!</v>
      </c>
      <c r="I205" s="72" t="e">
        <f t="shared" ca="1" si="110"/>
        <v>#VALUE!</v>
      </c>
      <c r="J205" s="166" t="e">
        <f ca="1">_xll.DBRW($A$1,$C205,$B205,J$3,J$1,J$2,$A205)*$D205</f>
        <v>#VALUE!</v>
      </c>
      <c r="K205" s="72" t="e">
        <f ca="1">_xll.DBRW($A$1,$C205,$B205,K$3,K$1,K$2,$A205)*$D205</f>
        <v>#VALUE!</v>
      </c>
      <c r="L205" s="72" t="e">
        <f t="shared" ca="1" si="111"/>
        <v>#VALUE!</v>
      </c>
      <c r="M205" s="166" t="e">
        <f ca="1">_xll.DBRW($A$1,$C205,$B205,M$3,M$1,M$2,$A205)*$D205</f>
        <v>#VALUE!</v>
      </c>
      <c r="N205" s="72" t="e">
        <f ca="1">_xll.DBRW($A$1,$C205,$B205,N$3,N$1,N$2,$A205)*$D205</f>
        <v>#VALUE!</v>
      </c>
      <c r="O205" s="72" t="e">
        <f t="shared" ca="1" si="112"/>
        <v>#VALUE!</v>
      </c>
      <c r="P205" s="166" t="e">
        <f ca="1">_xll.DBRW($A$1,$C205,$B205,P$3,P$1,P$2,$A205)*$D205</f>
        <v>#VALUE!</v>
      </c>
      <c r="Q205" s="72" t="e">
        <f ca="1">_xll.DBRW($A$1,$C205,$B205,Q$3,Q$1,Q$2,$A205)*$D205</f>
        <v>#VALUE!</v>
      </c>
      <c r="R205" s="72" t="e">
        <f t="shared" ca="1" si="113"/>
        <v>#VALUE!</v>
      </c>
      <c r="S205" s="166" t="e">
        <f ca="1">_xll.DBRW($A$1,$C205,$B205,S$3,S$1,S$2,$A205)*$D205</f>
        <v>#VALUE!</v>
      </c>
      <c r="T205" s="72" t="e">
        <f ca="1">_xll.DBRW($A$1,$C205,$B205,T$3,T$1,T$2,$A205)*$D205</f>
        <v>#VALUE!</v>
      </c>
      <c r="U205" s="72" t="e">
        <f t="shared" ca="1" si="114"/>
        <v>#VALUE!</v>
      </c>
      <c r="V205" s="166" t="e">
        <f ca="1">_xll.DBRW($A$1,$C205,$B205,V$3,V$1,V$2,$A205)*$D205</f>
        <v>#VALUE!</v>
      </c>
      <c r="W205" s="72" t="e">
        <f ca="1">_xll.DBRW($A$1,$C205,$B205,W$3,W$1,W$2,$A205)*$D205</f>
        <v>#VALUE!</v>
      </c>
      <c r="X205" s="72" t="e">
        <f t="shared" ca="1" si="115"/>
        <v>#VALUE!</v>
      </c>
      <c r="Y205" s="166" t="e">
        <f ca="1">_xll.DBRW($A$1,$C205,$B205,Y$3,Y$1,Y$2,$A205)*$D205</f>
        <v>#VALUE!</v>
      </c>
      <c r="Z205" s="72" t="e">
        <f ca="1">_xll.DBRW($A$1,$C205,$B205,Z$3,Z$1,Z$2,$A205)*$D205</f>
        <v>#VALUE!</v>
      </c>
      <c r="AA205" s="72" t="e">
        <f t="shared" ca="1" si="116"/>
        <v>#VALUE!</v>
      </c>
      <c r="AB205" s="166" t="e">
        <f ca="1">_xll.DBRW($A$1,$C205,$B205,AB$3,AB$1,AB$2,$A205)*$D205</f>
        <v>#VALUE!</v>
      </c>
      <c r="AC205" s="72" t="e">
        <f ca="1">_xll.DBRW($A$1,$C205,$B205,AC$3,AC$1,AC$2,$A205)*$D205</f>
        <v>#VALUE!</v>
      </c>
      <c r="AD205" s="72" t="e">
        <f t="shared" ca="1" si="117"/>
        <v>#VALUE!</v>
      </c>
      <c r="AE205" s="166" t="e">
        <f ca="1">_xll.DBRW($A$1,$C205,$B205,AE$3,AE$1,AE$2,$A205)*$D205</f>
        <v>#VALUE!</v>
      </c>
      <c r="AF205" s="72" t="e">
        <f ca="1">_xll.DBRW($A$1,$C205,$B205,AF$3,AF$1,AF$2,$A205)*$D205</f>
        <v>#VALUE!</v>
      </c>
      <c r="AG205" s="72" t="e">
        <f t="shared" ca="1" si="118"/>
        <v>#VALUE!</v>
      </c>
      <c r="AH205" s="166" t="e">
        <f ca="1">_xll.DBRW($A$1,$C205,$B205,AH$3,AH$1,AH$2,$A205)*$D205</f>
        <v>#VALUE!</v>
      </c>
      <c r="AI205" s="72" t="e">
        <f ca="1">_xll.DBRW($A$1,$C205,$B205,AI$3,AI$1,AI$2,$A205)*$D205</f>
        <v>#VALUE!</v>
      </c>
      <c r="AJ205" s="72" t="e">
        <f t="shared" ca="1" si="119"/>
        <v>#VALUE!</v>
      </c>
      <c r="AK205" s="166" t="e">
        <f ca="1">_xll.DBRW($A$1,$C205,$B205,AK$3,AK$1,AK$2,$A205)*$D205</f>
        <v>#VALUE!</v>
      </c>
      <c r="AL205" s="72" t="e">
        <f ca="1">_xll.DBRW($A$1,$C205,$B205,AL$3,AL$1,AL$2,$A205)*$D205</f>
        <v>#VALUE!</v>
      </c>
      <c r="AM205" s="72" t="e">
        <f t="shared" ca="1" si="120"/>
        <v>#VALUE!</v>
      </c>
    </row>
  </sheetData>
  <conditionalFormatting sqref="I9:I205 L9:L205 O9:O205 R9:R205 U9:U205 X9:X205 AA9:AA205 AD9:AD205 AG9:AG205 AJ9:AJ205 AM9:AM205">
    <cfRule type="cellIs" dxfId="0" priority="1" operator="notEqual">
      <formula>0</formula>
    </cfRule>
  </conditionalFormatting>
  <dataValidations count="1">
    <dataValidation type="list" allowBlank="1" showInputMessage="1" showErrorMessage="1" sqref="A1">
      <formula1>"turn on Genesis here, mfc:Genesis"</formula1>
    </dataValidation>
  </dataValidations>
  <pageMargins left="0.70866141732283472" right="0.70866141732283472" top="0.78740157480314965" bottom="0.78740157480314965" header="0.31496062992125984" footer="0.31496062992125984"/>
  <pageSetup paperSize="9" scale="41" fitToHeight="2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1">
    <tabColor rgb="FFFF0000"/>
    <pageSetUpPr fitToPage="1"/>
  </sheetPr>
  <dimension ref="A1:G7"/>
  <sheetViews>
    <sheetView zoomScale="120" zoomScaleNormal="120" workbookViewId="0">
      <selection activeCell="D35" sqref="D35"/>
    </sheetView>
  </sheetViews>
  <sheetFormatPr defaultColWidth="11.42578125" defaultRowHeight="15"/>
  <cols>
    <col min="1" max="1" width="21" style="6" customWidth="1"/>
    <col min="2" max="2" width="14.5703125" style="6" customWidth="1"/>
    <col min="3" max="3" width="31.7109375" style="6" customWidth="1"/>
    <col min="4" max="4" width="14.85546875" style="6" customWidth="1"/>
    <col min="5" max="5" width="11" style="6" customWidth="1"/>
    <col min="6" max="6" width="13.5703125" style="6" customWidth="1"/>
    <col min="7" max="7" width="13.28515625" style="6" customWidth="1"/>
    <col min="8" max="16384" width="11.42578125" style="6"/>
  </cols>
  <sheetData>
    <row r="1" spans="1:7">
      <c r="A1" s="2" t="e">
        <f>INDEX(#REF!,MATCH(47365446,#REF!,0),Sy_nop)</f>
        <v>#REF!</v>
      </c>
      <c r="B1"/>
      <c r="C1"/>
      <c r="D1"/>
      <c r="E1"/>
      <c r="F1"/>
      <c r="G1"/>
    </row>
    <row r="2" spans="1:7">
      <c r="A2" s="279"/>
      <c r="B2"/>
      <c r="C2"/>
      <c r="D2"/>
      <c r="E2"/>
      <c r="F2"/>
      <c r="G2"/>
    </row>
    <row r="3" spans="1:7">
      <c r="A3" s="287" t="e">
        <f>INDEX(#REF!,MATCH(29883458,#REF!,0),Sy_nop)</f>
        <v>#REF!</v>
      </c>
      <c r="B3" s="288" t="e">
        <f>#REF!</f>
        <v>#REF!</v>
      </c>
      <c r="C3" s="289" t="e">
        <f>INDEX(#REF!,MATCH(-22086430,#REF!,0),Sy_nop)</f>
        <v>#REF!</v>
      </c>
      <c r="D3" s="289" t="e">
        <f>INDEX(#REF!,MATCH(-5848859,#REF!,0),Sy_nop)</f>
        <v>#REF!</v>
      </c>
      <c r="E3" s="289" t="e">
        <f>INDEX(#REF!,MATCH(-157772012,#REF!,0),Sy_nop)</f>
        <v>#REF!</v>
      </c>
      <c r="F3" s="289" t="e">
        <f>INDEX(#REF!,MATCH(-30003699,#REF!,0),Sy_nop)</f>
        <v>#REF!</v>
      </c>
      <c r="G3" s="288" t="e">
        <f>#REF!</f>
        <v>#REF!</v>
      </c>
    </row>
    <row r="4" spans="1:7">
      <c r="A4" s="280" t="e">
        <f>INDEX(#REF!,MATCH(149223256,#REF!,0),Sy_nop)</f>
        <v>#REF!</v>
      </c>
      <c r="B4" s="285" t="s">
        <v>389</v>
      </c>
      <c r="C4" s="281" t="s">
        <v>390</v>
      </c>
      <c r="D4" s="281" t="s">
        <v>391</v>
      </c>
      <c r="E4" s="281" t="s">
        <v>392</v>
      </c>
      <c r="F4" s="282" t="s">
        <v>393</v>
      </c>
      <c r="G4" s="285" t="s">
        <v>394</v>
      </c>
    </row>
    <row r="5" spans="1:7">
      <c r="A5" s="280" t="e">
        <f>INDEX(#REF!,MATCH(1923522,#REF!,0),Sy_nop)</f>
        <v>#REF!</v>
      </c>
      <c r="B5" s="285" t="s">
        <v>395</v>
      </c>
      <c r="C5" s="281" t="s">
        <v>396</v>
      </c>
      <c r="D5" s="294" t="e">
        <f>INDEX(#REF!,MATCH(13268907,#REF!,0),Sy_nop)</f>
        <v>#REF!</v>
      </c>
      <c r="E5" s="281" t="s">
        <v>397</v>
      </c>
      <c r="F5" s="282" t="s">
        <v>398</v>
      </c>
      <c r="G5" s="285" t="s">
        <v>399</v>
      </c>
    </row>
    <row r="6" spans="1:7">
      <c r="A6" s="283" t="e">
        <f>INDEX(#REF!,MATCH(148457246,#REF!,0),Sy_nop)</f>
        <v>#REF!</v>
      </c>
      <c r="B6" s="286" t="s">
        <v>400</v>
      </c>
      <c r="C6" s="284" t="s">
        <v>401</v>
      </c>
      <c r="D6" s="284" t="s">
        <v>402</v>
      </c>
      <c r="E6" s="284" t="s">
        <v>403</v>
      </c>
      <c r="F6" s="295" t="e">
        <f>INDEX(#REF!,MATCH(-45179045,#REF!,0),Sy_nop)</f>
        <v>#REF!</v>
      </c>
      <c r="G6" s="286" t="s">
        <v>404</v>
      </c>
    </row>
    <row r="7" spans="1:7">
      <c r="A7" s="68"/>
      <c r="B7" s="68"/>
      <c r="C7" s="68"/>
      <c r="D7" s="68"/>
      <c r="E7" s="68"/>
      <c r="F7" s="68"/>
      <c r="G7" s="68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9" orientation="portrait" r:id="rId1"/>
  <headerFooter alignWithMargins="0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theme="1" tint="4.9989318521683403E-2"/>
  </sheetPr>
  <dimension ref="B1:F38"/>
  <sheetViews>
    <sheetView topLeftCell="A4" workbookViewId="0">
      <selection activeCell="D35" sqref="D35"/>
    </sheetView>
  </sheetViews>
  <sheetFormatPr defaultColWidth="11.42578125" defaultRowHeight="15"/>
  <cols>
    <col min="2" max="2" width="21.7109375" customWidth="1"/>
    <col min="5" max="5" width="22.42578125" customWidth="1"/>
  </cols>
  <sheetData>
    <row r="1" spans="2:6">
      <c r="B1" s="105"/>
      <c r="C1" s="105"/>
      <c r="D1" s="136" t="s">
        <v>233</v>
      </c>
      <c r="E1" s="105"/>
      <c r="F1" s="105"/>
    </row>
    <row r="2" spans="2:6">
      <c r="B2" s="105"/>
      <c r="C2" s="105"/>
      <c r="D2" s="137" t="e">
        <f>#REF!</f>
        <v>#REF!</v>
      </c>
      <c r="E2" s="105"/>
      <c r="F2" s="105"/>
    </row>
    <row r="3" spans="2:6">
      <c r="B3" s="105"/>
      <c r="C3" s="105"/>
      <c r="D3" s="106"/>
      <c r="E3" s="105"/>
      <c r="F3" s="105"/>
    </row>
    <row r="4" spans="2:6">
      <c r="B4" s="107" t="s">
        <v>234</v>
      </c>
      <c r="C4" s="105"/>
      <c r="D4" s="108" t="e">
        <f>Upstream!#REF!</f>
        <v>#REF!</v>
      </c>
      <c r="E4" s="105"/>
      <c r="F4" s="105"/>
    </row>
    <row r="5" spans="2:6">
      <c r="B5" s="109" t="s">
        <v>235</v>
      </c>
      <c r="C5" s="105"/>
      <c r="D5" s="110" t="e">
        <f>Upstream!#REF!</f>
        <v>#REF!</v>
      </c>
      <c r="E5" s="105"/>
      <c r="F5" s="105"/>
    </row>
    <row r="6" spans="2:6">
      <c r="B6" s="112" t="s">
        <v>236</v>
      </c>
      <c r="C6" s="105"/>
      <c r="D6" s="138" t="e">
        <f>D5-D7</f>
        <v>#REF!</v>
      </c>
      <c r="E6" s="134" t="s">
        <v>258</v>
      </c>
      <c r="F6" s="105"/>
    </row>
    <row r="7" spans="2:6">
      <c r="B7" s="112" t="s">
        <v>237</v>
      </c>
      <c r="C7" s="105"/>
      <c r="D7" s="114" t="e">
        <f>Upstream!#REF!</f>
        <v>#REF!</v>
      </c>
      <c r="E7" s="105"/>
      <c r="F7" s="105"/>
    </row>
    <row r="8" spans="2:6">
      <c r="B8" s="109" t="s">
        <v>238</v>
      </c>
      <c r="C8" s="105"/>
      <c r="D8" s="114" t="e">
        <f>Downstream!#REF!</f>
        <v>#REF!</v>
      </c>
      <c r="E8" s="105"/>
      <c r="F8" s="105"/>
    </row>
    <row r="9" spans="2:6" ht="25.5">
      <c r="B9" s="115" t="s">
        <v>190</v>
      </c>
      <c r="C9" s="105"/>
      <c r="D9" s="113" t="e">
        <f>Downstream!#REF!</f>
        <v>#REF!</v>
      </c>
      <c r="E9" s="105"/>
      <c r="F9" s="105"/>
    </row>
    <row r="10" spans="2:6">
      <c r="B10" s="112" t="s">
        <v>236</v>
      </c>
      <c r="C10" s="105"/>
      <c r="D10" s="113" t="e">
        <f>Downstream!#REF!</f>
        <v>#REF!</v>
      </c>
      <c r="E10" s="105"/>
      <c r="F10" s="105"/>
    </row>
    <row r="11" spans="2:6">
      <c r="B11" s="112" t="s">
        <v>237</v>
      </c>
      <c r="C11" s="105"/>
      <c r="D11" s="114" t="e">
        <f>Downstream!#REF!</f>
        <v>#REF!</v>
      </c>
      <c r="E11" s="105"/>
      <c r="F11" s="105"/>
    </row>
    <row r="12" spans="2:6">
      <c r="B12" s="112" t="s">
        <v>239</v>
      </c>
      <c r="C12" s="105"/>
      <c r="D12" s="114" t="e">
        <f>Downstream!#REF!</f>
        <v>#REF!</v>
      </c>
      <c r="E12" s="105"/>
      <c r="F12" s="105"/>
    </row>
    <row r="13" spans="2:6" ht="25.5">
      <c r="B13" s="115" t="s">
        <v>240</v>
      </c>
      <c r="C13" s="105"/>
      <c r="D13" s="114" t="e">
        <f>Downstream!#REF!</f>
        <v>#REF!</v>
      </c>
      <c r="E13" s="105"/>
      <c r="F13" s="105"/>
    </row>
    <row r="14" spans="2:6">
      <c r="B14" s="112" t="s">
        <v>236</v>
      </c>
      <c r="C14" s="105"/>
      <c r="D14" s="138" t="e">
        <f>D13-D15</f>
        <v>#REF!</v>
      </c>
      <c r="E14" s="134" t="s">
        <v>258</v>
      </c>
      <c r="F14" s="105"/>
    </row>
    <row r="15" spans="2:6">
      <c r="B15" s="112" t="s">
        <v>237</v>
      </c>
      <c r="C15" s="105"/>
      <c r="D15" s="114" t="e">
        <f>Downstream!#REF!</f>
        <v>#REF!</v>
      </c>
      <c r="E15" s="105"/>
      <c r="F15" s="105"/>
    </row>
    <row r="16" spans="2:6">
      <c r="B16" s="109" t="s">
        <v>241</v>
      </c>
      <c r="C16" s="105"/>
      <c r="D16" s="114" t="e">
        <f>'Financial highlights'!#REF!</f>
        <v>#REF!</v>
      </c>
      <c r="E16" s="105"/>
      <c r="F16" s="105"/>
    </row>
    <row r="17" spans="2:6">
      <c r="B17" s="112" t="s">
        <v>236</v>
      </c>
      <c r="C17" s="105"/>
      <c r="D17" s="139"/>
      <c r="E17" s="140" t="s">
        <v>259</v>
      </c>
      <c r="F17" s="105"/>
    </row>
    <row r="18" spans="2:6">
      <c r="B18" s="112" t="s">
        <v>237</v>
      </c>
      <c r="C18" s="105"/>
      <c r="D18" s="139"/>
      <c r="E18" s="140" t="s">
        <v>259</v>
      </c>
      <c r="F18" s="105"/>
    </row>
    <row r="19" spans="2:6">
      <c r="B19" s="109" t="s">
        <v>4</v>
      </c>
      <c r="C19" s="105"/>
      <c r="D19" s="111" t="e">
        <f>'Financial highlights'!#REF!</f>
        <v>#REF!</v>
      </c>
      <c r="E19" s="105"/>
      <c r="F19" s="105"/>
    </row>
    <row r="20" spans="2:6">
      <c r="B20" s="112" t="s">
        <v>242</v>
      </c>
      <c r="C20" s="105"/>
      <c r="D20" s="111" t="e">
        <f>'Financial highlights'!#REF!</f>
        <v>#REF!</v>
      </c>
      <c r="E20" s="105"/>
      <c r="F20" s="105"/>
    </row>
    <row r="21" spans="2:6" ht="15.75">
      <c r="B21" s="116" t="s">
        <v>243</v>
      </c>
      <c r="C21" s="117"/>
      <c r="D21" s="117" t="str">
        <f ca="1">'Title page (QR only)'!C6</f>
        <v>*KEY_ERR</v>
      </c>
      <c r="E21" s="105"/>
      <c r="F21" s="105"/>
    </row>
    <row r="22" spans="2:6">
      <c r="B22" s="112" t="s">
        <v>244</v>
      </c>
      <c r="C22" s="105"/>
      <c r="D22" s="118" t="e">
        <f>'Financial highlights'!#REF!</f>
        <v>#REF!</v>
      </c>
      <c r="E22" s="105"/>
      <c r="F22" s="105"/>
    </row>
    <row r="23" spans="2:6">
      <c r="B23" s="112" t="s">
        <v>11</v>
      </c>
      <c r="C23" s="105"/>
      <c r="D23" s="119" t="e">
        <f>'Financial highlights'!#REF!</f>
        <v>#REF!</v>
      </c>
      <c r="E23" s="105"/>
      <c r="F23" s="105"/>
    </row>
    <row r="24" spans="2:6">
      <c r="B24" s="120" t="s">
        <v>245</v>
      </c>
      <c r="C24" s="121"/>
      <c r="D24" s="122" t="str">
        <f ca="1">'Title page (QR only)'!C5</f>
        <v>*KEY_ERR</v>
      </c>
      <c r="E24" s="105"/>
      <c r="F24" s="105"/>
    </row>
    <row r="25" spans="2:6">
      <c r="B25" s="109"/>
      <c r="C25" s="105"/>
      <c r="D25" s="123"/>
      <c r="E25" s="105"/>
      <c r="F25" s="105"/>
    </row>
    <row r="26" spans="2:6">
      <c r="B26" s="112" t="s">
        <v>246</v>
      </c>
      <c r="C26" s="105"/>
      <c r="D26" s="119" t="e">
        <f>SUM('Income statement'!#REF!)</f>
        <v>#REF!</v>
      </c>
      <c r="E26" s="124" t="s">
        <v>222</v>
      </c>
      <c r="F26" s="105"/>
    </row>
    <row r="27" spans="2:6">
      <c r="B27" s="112" t="s">
        <v>247</v>
      </c>
      <c r="C27" s="105"/>
      <c r="D27" s="119" t="e">
        <f>'Income statement'!#REF!</f>
        <v>#REF!</v>
      </c>
      <c r="E27" s="125" t="e">
        <f>'Income statement'!#REF!</f>
        <v>#REF!</v>
      </c>
      <c r="F27" s="105"/>
    </row>
    <row r="28" spans="2:6">
      <c r="B28" s="126" t="s">
        <v>248</v>
      </c>
      <c r="C28" s="105"/>
      <c r="D28" s="127" t="e">
        <f>SUM('Income statement'!#REF!,'Income statement'!#REF!)</f>
        <v>#REF!</v>
      </c>
      <c r="E28" s="124" t="s">
        <v>249</v>
      </c>
      <c r="F28" s="105"/>
    </row>
    <row r="29" spans="2:6">
      <c r="B29" s="128" t="s">
        <v>30</v>
      </c>
      <c r="C29" s="105"/>
      <c r="D29" s="119" t="e">
        <f>'Income statement'!#REF!</f>
        <v>#REF!</v>
      </c>
      <c r="E29" s="135" t="s">
        <v>418</v>
      </c>
      <c r="F29" s="105"/>
    </row>
    <row r="30" spans="2:6">
      <c r="B30" s="109"/>
      <c r="C30" s="105"/>
      <c r="D30" s="123"/>
      <c r="E30" s="129"/>
      <c r="F30" s="105"/>
    </row>
    <row r="31" spans="2:6">
      <c r="B31" s="112" t="s">
        <v>250</v>
      </c>
      <c r="C31" s="105"/>
      <c r="D31" s="119" t="e">
        <f>'Income statement'!#REF!</f>
        <v>#REF!</v>
      </c>
      <c r="E31" s="291" t="s">
        <v>416</v>
      </c>
      <c r="F31" s="105"/>
    </row>
    <row r="32" spans="2:6">
      <c r="B32" s="112" t="s">
        <v>251</v>
      </c>
      <c r="C32" s="105"/>
      <c r="D32" s="119" t="e">
        <f>'Income statement'!#REF!</f>
        <v>#REF!</v>
      </c>
      <c r="E32" s="291" t="s">
        <v>417</v>
      </c>
      <c r="F32" s="105"/>
    </row>
    <row r="33" spans="2:6">
      <c r="B33" s="112" t="s">
        <v>252</v>
      </c>
      <c r="C33" s="105"/>
      <c r="D33" s="119" t="e">
        <f>-'Income statement'!#REF!</f>
        <v>#REF!</v>
      </c>
      <c r="E33" s="291" t="s">
        <v>419</v>
      </c>
      <c r="F33" s="105"/>
    </row>
    <row r="34" spans="2:6">
      <c r="B34" s="112" t="s">
        <v>253</v>
      </c>
      <c r="C34" s="105"/>
      <c r="D34" s="131" t="e">
        <f>-'Income statement'!#REF!</f>
        <v>#REF!</v>
      </c>
      <c r="E34" s="130" t="s">
        <v>254</v>
      </c>
      <c r="F34" s="105"/>
    </row>
    <row r="35" spans="2:6" ht="15.75">
      <c r="B35" s="116" t="s">
        <v>255</v>
      </c>
      <c r="C35" s="105"/>
      <c r="D35" s="117" t="str">
        <f ca="1">'Title page (QR only)'!C8</f>
        <v>*KEY_ERR</v>
      </c>
      <c r="E35" s="117" t="e">
        <f>'Financial highlights'!#REF!</f>
        <v>#REF!</v>
      </c>
      <c r="F35" s="105"/>
    </row>
    <row r="36" spans="2:6">
      <c r="B36" s="132"/>
      <c r="C36" s="105"/>
      <c r="D36" s="105"/>
      <c r="E36" s="105"/>
      <c r="F36" s="105"/>
    </row>
    <row r="37" spans="2:6">
      <c r="B37" s="112" t="s">
        <v>256</v>
      </c>
      <c r="C37" s="105"/>
      <c r="D37" s="141"/>
      <c r="E37" s="140" t="s">
        <v>259</v>
      </c>
      <c r="F37" s="105"/>
    </row>
    <row r="38" spans="2:6">
      <c r="B38" s="133" t="s">
        <v>257</v>
      </c>
      <c r="C38" s="105"/>
      <c r="D38" s="290" t="e">
        <f>'Financial highlights'!#REF!</f>
        <v>#REF!</v>
      </c>
      <c r="E38" s="105"/>
      <c r="F38" s="105"/>
    </row>
  </sheetData>
  <pageMargins left="0.7" right="0.7" top="0.78740157499999996" bottom="0.78740157499999996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B2:D7"/>
  <sheetViews>
    <sheetView workbookViewId="0"/>
  </sheetViews>
  <sheetFormatPr defaultColWidth="11.42578125" defaultRowHeight="15"/>
  <cols>
    <col min="1" max="16384" width="11.42578125" style="293"/>
  </cols>
  <sheetData>
    <row r="2" spans="2:4">
      <c r="B2" s="293" t="s">
        <v>435</v>
      </c>
      <c r="D2" s="293">
        <v>42943.477083564801</v>
      </c>
    </row>
    <row r="3" spans="2:4">
      <c r="B3" s="293">
        <v>2</v>
      </c>
      <c r="D3" s="293">
        <v>42859.7398631713</v>
      </c>
    </row>
    <row r="6" spans="2:4">
      <c r="B6" s="293">
        <v>0</v>
      </c>
    </row>
    <row r="7" spans="2:4">
      <c r="B7" s="293">
        <v>10</v>
      </c>
      <c r="D7" s="292" t="s">
        <v>436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VersionInfo xmlns="urn://firesys.de">
  <firesysVersion>14.0</firesysVersion>
</VersionInfo>
</file>

<file path=customXml/itemProps1.xml><?xml version="1.0" encoding="utf-8"?>
<ds:datastoreItem xmlns:ds="http://schemas.openxmlformats.org/officeDocument/2006/customXml" ds:itemID="{4EC1A338-675F-4853-B8E9-4B87912D685B}">
  <ds:schemaRefs>
    <ds:schemaRef ds:uri="urn://firesys.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85</vt:i4>
      </vt:variant>
    </vt:vector>
  </HeadingPairs>
  <TitlesOfParts>
    <vt:vector size="112" baseType="lpstr">
      <vt:lpstr>Title page (QR only)</vt:lpstr>
      <vt:lpstr>Index</vt:lpstr>
      <vt:lpstr>Financial highlights</vt:lpstr>
      <vt:lpstr>Summ_CF_statement_QR only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Income Tax</vt:lpstr>
      <vt:lpstr>Financial instruments</vt:lpstr>
      <vt:lpstr>Segment reporting</vt:lpstr>
      <vt:lpstr>Related Parties</vt:lpstr>
      <vt:lpstr>Net cash inflows</vt:lpstr>
      <vt:lpstr>CAPEX,(CleanCCS) Op. Result</vt:lpstr>
      <vt:lpstr>Economic environment</vt:lpstr>
      <vt:lpstr>Statement_fin_pos_(QR only)</vt:lpstr>
      <vt:lpstr>IAS8_Income Statement impact</vt:lpstr>
      <vt:lpstr>IAS8_Balance sheet impact</vt:lpstr>
      <vt:lpstr>IAS8_Cash flows impact</vt:lpstr>
      <vt:lpstr>IAS8_FinancialHighlights_DELETE</vt:lpstr>
      <vt:lpstr>IAS8_Further impact</vt:lpstr>
      <vt:lpstr>Further impact_linked</vt:lpstr>
      <vt:lpstr>PPE_QR only</vt:lpstr>
      <vt:lpstr>Q_Consensus_QuickLink</vt:lpstr>
      <vt:lpstr>'IAS8_Further impact'!Druckbereich_Further_Impacts</vt:lpstr>
      <vt:lpstr>Druckbereich_IAS8_Further_Impacts</vt:lpstr>
      <vt:lpstr>PerfOverview</vt:lpstr>
      <vt:lpstr>'CAPEX,(CleanCCS) Op. Result'!Print_Area</vt:lpstr>
      <vt:lpstr>'Cash flows'!Print_Area</vt:lpstr>
      <vt:lpstr>Downstream!Print_Area</vt:lpstr>
      <vt:lpstr>'Economic environment'!Print_Area</vt:lpstr>
      <vt:lpstr>'Financial highlights'!Print_Area</vt:lpstr>
      <vt:lpstr>'Financial instruments'!Print_Area</vt:lpstr>
      <vt:lpstr>'IAS8_Balance sheet impact'!Print_Area</vt:lpstr>
      <vt:lpstr>'IAS8_Cash flows impact'!Print_Area</vt:lpstr>
      <vt:lpstr>'IAS8_Income Statement impact'!Print_Area</vt:lpstr>
      <vt:lpstr>'Income statement'!Print_Area</vt:lpstr>
      <vt:lpstr>'Income Tax'!Print_Area</vt:lpstr>
      <vt:lpstr>Index!Print_Area</vt:lpstr>
      <vt:lpstr>'Net cash inflows'!Print_Area</vt:lpstr>
      <vt:lpstr>'PPE_QR only'!Print_Area</vt:lpstr>
      <vt:lpstr>'Related Parties'!Print_Area</vt:lpstr>
      <vt:lpstr>'Segment reporting'!Print_Area</vt:lpstr>
      <vt:lpstr>'Statement of changes in equity'!Print_Area</vt:lpstr>
      <vt:lpstr>'Statement of compr. income'!Print_Area</vt:lpstr>
      <vt:lpstr>'Statement of fin. position'!Print_Area</vt:lpstr>
      <vt:lpstr>'Statement_fin_pos_(QR only)'!Print_Area</vt:lpstr>
      <vt:lpstr>'Summ_CF_statement_QR only'!Print_Area</vt:lpstr>
      <vt:lpstr>'Title page (QR only)'!Print_Area</vt:lpstr>
      <vt:lpstr>Upstream!Print_Area</vt:lpstr>
      <vt:lpstr>Downstream!Print_Titles</vt:lpstr>
      <vt:lpstr>'Further impact_linked'!Print_Titles</vt:lpstr>
      <vt:lpstr>IAS8_FinancialHighlights_DELETE!Print_Titles</vt:lpstr>
      <vt:lpstr>'IAS8_Further impact'!Print_Titles</vt:lpstr>
      <vt:lpstr>SoFP</vt:lpstr>
      <vt:lpstr>'IAS8_Balance sheet impact'!Table_Balance_Sheet</vt:lpstr>
      <vt:lpstr>'Statement_fin_pos_(QR only)'!Table_Balance_Sheet</vt:lpstr>
      <vt:lpstr>Table_Balance_Sheet</vt:lpstr>
      <vt:lpstr>'IAS8_Cash flows impact'!Table_Cash_Flows</vt:lpstr>
      <vt:lpstr>Table_Cash_Flows</vt:lpstr>
      <vt:lpstr>'Statement of changes in equity'!Table_changes_in_equity</vt:lpstr>
      <vt:lpstr>'Statement of changes in equity'!Table_Condensed_Statement_of_Changes_in_Equity_AY</vt:lpstr>
      <vt:lpstr>'Statement of changes in equity'!Table_Condensed_Statement_of_Changes_in_Equity_LY</vt:lpstr>
      <vt:lpstr>Downstream!Table_Downstream</vt:lpstr>
      <vt:lpstr>Table_DR_DS_Overview</vt:lpstr>
      <vt:lpstr>Table_DR_US_Overview</vt:lpstr>
      <vt:lpstr>Upstream!Table_Exploration_and_Production</vt:lpstr>
      <vt:lpstr>Table_FH</vt:lpstr>
      <vt:lpstr>Table_Financial_Highlights</vt:lpstr>
      <vt:lpstr>'Financial instruments'!Table_Financialinstruments_asset</vt:lpstr>
      <vt:lpstr>'Financial instruments'!Table_Financialinstruments_liability</vt:lpstr>
      <vt:lpstr>'Related Parties'!Table_FS_BSP</vt:lpstr>
      <vt:lpstr>Table_FS_Cashflow</vt:lpstr>
      <vt:lpstr>'Financial instruments'!Table_FS_Financial_Instruments</vt:lpstr>
      <vt:lpstr>Table_FS_Income_Tax</vt:lpstr>
      <vt:lpstr>Table_FS_IS</vt:lpstr>
      <vt:lpstr>Table_FS_NCI</vt:lpstr>
      <vt:lpstr>Table_FS_Segment_reporting</vt:lpstr>
      <vt:lpstr>Table_FS_SoCI</vt:lpstr>
      <vt:lpstr>Table_FS_SOFP</vt:lpstr>
      <vt:lpstr>Table_FS_SR_Assets</vt:lpstr>
      <vt:lpstr>Table_FS_SR_SaGP</vt:lpstr>
      <vt:lpstr>Table_FS_SR_SteC</vt:lpstr>
      <vt:lpstr>Table_FS_SR_TS</vt:lpstr>
      <vt:lpstr>'Related Parties'!Table_FS_STwrP</vt:lpstr>
      <vt:lpstr>'IAS8_Balance sheet impact'!Table_IAS8_Balance_sheet</vt:lpstr>
      <vt:lpstr>Table_IAS8_CashFlow_Impact</vt:lpstr>
      <vt:lpstr>IAS8_FinancialHighlights_DELETE!Table_IAS8_FinancialHighlights</vt:lpstr>
      <vt:lpstr>Table_IAS8_income_statement</vt:lpstr>
      <vt:lpstr>'IAS8_Income Statement impact'!Table_Income_Statement</vt:lpstr>
      <vt:lpstr>Table_Income_Statement</vt:lpstr>
      <vt:lpstr>'Income Tax'!Table_Income_tax</vt:lpstr>
      <vt:lpstr>'PPE_QR only'!Table_Property_Plant_Equipment</vt:lpstr>
      <vt:lpstr>Downstream!Table_Refining_and_Marketing</vt:lpstr>
      <vt:lpstr>'Related Parties'!Table_Related_Parties_Balance_Sheet</vt:lpstr>
      <vt:lpstr>'Related Parties'!Table_Related_Parties_Transaction</vt:lpstr>
      <vt:lpstr>Table_SR_Assets</vt:lpstr>
      <vt:lpstr>Table_SR_Intersegmental_sales</vt:lpstr>
      <vt:lpstr>Table_SR_IS</vt:lpstr>
      <vt:lpstr>Table_SR_Sales_to_external_customers</vt:lpstr>
      <vt:lpstr>Table_SR_Segment_and_Group_profit</vt:lpstr>
      <vt:lpstr>Table_SR_Total_sales</vt:lpstr>
      <vt:lpstr>Table_Statement_of_comprehensive_Income</vt:lpstr>
      <vt:lpstr>'Summ_CF_statement_QR only'!Table_Summarized_CF_statement</vt:lpstr>
      <vt:lpstr>Table_Summarized_statement_of_fincancial_position</vt:lpstr>
      <vt:lpstr>Table_Title_Page</vt:lpstr>
      <vt:lpstr>Table_Upstream</vt:lpstr>
      <vt:lpstr>Test</vt:lpstr>
      <vt:lpstr>test123</vt:lpstr>
    </vt:vector>
  </TitlesOfParts>
  <Company>OMV Aktiengesellschaft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Supplement Q3/17</dc:title>
  <dc:creator>OMV Group</dc:creator>
  <cp:lastModifiedBy>Alexandru, Vlad Andrei</cp:lastModifiedBy>
  <cp:lastPrinted>2017-11-06T08:57:54Z</cp:lastPrinted>
  <dcterms:created xsi:type="dcterms:W3CDTF">2012-01-03T16:21:04Z</dcterms:created>
  <dcterms:modified xsi:type="dcterms:W3CDTF">2017-11-09T05:29:44Z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FIRE.sys.mpID_Domain">
    <vt:lpwstr>WW</vt:lpwstr>
  </property>
  <property fmtid="{D5CDD505-2E9C-101B-9397-08002B2CF9AE}" pid="5" name="FIRE.sys.mpLayout">
    <vt:lpwstr/>
  </property>
</Properties>
</file>